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PRÁCE\.ROZDELENI\Prekladiste\Rozbor 2024 - Humpolec\"/>
    </mc:Choice>
  </mc:AlternateContent>
  <xr:revisionPtr revIDLastSave="0" documentId="13_ncr:1_{6AE3D1F0-0139-4BBA-9299-8C50E4803074}" xr6:coauthVersionLast="47" xr6:coauthVersionMax="47" xr10:uidLastSave="{00000000-0000-0000-0000-000000000000}"/>
  <bookViews>
    <workbookView xWindow="-108" yWindow="-108" windowWidth="23256" windowHeight="12456" tabRatio="881" firstSheet="5" activeTab="5" xr2:uid="{3AD4C00D-B420-4A15-8098-6DAA2D706A5B}"/>
  </bookViews>
  <sheets>
    <sheet name="Odpady 2024" sheetId="5" r:id="rId1"/>
    <sheet name="Odpady 2023" sheetId="4" r:id="rId2"/>
    <sheet name="List1" sheetId="2" r:id="rId3"/>
    <sheet name="PŘEÚČTOVÁNÍ STŘEDISEK 2023" sheetId="1" r:id="rId4"/>
    <sheet name="Odpady 2023 (2)" sheetId="6" r:id="rId5"/>
    <sheet name="Základy" sheetId="11" r:id="rId6"/>
    <sheet name="Nákladové a výnosové výpočty" sheetId="8" r:id="rId7"/>
    <sheet name="Poměrové výpočty" sheetId="9" r:id="rId8"/>
    <sheet name="Poplatek za Humpolecko" sheetId="3" r:id="rId9"/>
    <sheet name="Náklady na překladiště" sheetId="12" r:id="rId10"/>
    <sheet name="Náklady na překladiště za město" sheetId="10" r:id="rId11"/>
    <sheet name="Rozbor rentability separace" sheetId="13" r:id="rId12"/>
  </sheets>
  <definedNames>
    <definedName name="_xlnm._FilterDatabase" localSheetId="1" hidden="1">'Odpady 2023'!$A$1:$M$216</definedName>
    <definedName name="_xlnm._FilterDatabase" localSheetId="4" hidden="1">'Odpady 2023 (2)'!$A$1:$M$216</definedName>
    <definedName name="_xlnm._FilterDatabase" localSheetId="0" hidden="1">'Odpady 2024'!$A$1:$M$200</definedName>
  </definedNames>
  <calcPr calcId="191029"/>
</workbook>
</file>

<file path=xl/calcChain.xml><?xml version="1.0" encoding="utf-8"?>
<calcChain xmlns="http://schemas.openxmlformats.org/spreadsheetml/2006/main">
  <c r="F262" i="11" l="1"/>
  <c r="E262" i="11"/>
  <c r="G262" i="11"/>
  <c r="A80" i="10"/>
  <c r="A79" i="10"/>
  <c r="A78" i="10"/>
  <c r="G78" i="10"/>
  <c r="E83" i="10"/>
  <c r="F83" i="10"/>
  <c r="E82" i="10"/>
  <c r="F82" i="10"/>
  <c r="E75" i="10"/>
  <c r="F75" i="10"/>
  <c r="E52" i="10"/>
  <c r="F52" i="10"/>
  <c r="E50" i="10"/>
  <c r="F50" i="10"/>
  <c r="E45" i="10"/>
  <c r="F45" i="10"/>
  <c r="F29" i="10"/>
  <c r="F30" i="10"/>
  <c r="F31" i="10"/>
  <c r="F32" i="10"/>
  <c r="E156" i="11"/>
  <c r="F156" i="11"/>
  <c r="G156" i="11"/>
  <c r="F200" i="11"/>
  <c r="F128" i="11" s="1"/>
  <c r="E200" i="11"/>
  <c r="E128" i="11" s="1"/>
  <c r="F118" i="11"/>
  <c r="F147" i="11"/>
  <c r="E147" i="11"/>
  <c r="F155" i="11"/>
  <c r="E155" i="11"/>
  <c r="E143" i="11"/>
  <c r="D115" i="11"/>
  <c r="F115" i="11"/>
  <c r="E126" i="11"/>
  <c r="F126" i="11"/>
  <c r="E127" i="11"/>
  <c r="F127" i="11"/>
  <c r="E158" i="11" l="1"/>
  <c r="F158" i="11"/>
  <c r="F190" i="11"/>
  <c r="F164" i="11"/>
  <c r="E192" i="11"/>
  <c r="E207" i="11"/>
  <c r="E54" i="11"/>
  <c r="F54" i="11"/>
  <c r="F56" i="11"/>
  <c r="F58" i="11"/>
  <c r="E210" i="11"/>
  <c r="E32" i="10" s="1"/>
  <c r="E209" i="11"/>
  <c r="E31" i="10" s="1"/>
  <c r="E208" i="11"/>
  <c r="F114" i="11"/>
  <c r="F109" i="11"/>
  <c r="F78" i="11"/>
  <c r="F113" i="11" s="1"/>
  <c r="E79" i="11"/>
  <c r="F79" i="11"/>
  <c r="F19" i="11"/>
  <c r="F20" i="11" s="1"/>
  <c r="F148" i="11" s="1"/>
  <c r="F151" i="11" s="1"/>
  <c r="F25" i="11"/>
  <c r="F26" i="11" s="1"/>
  <c r="G25" i="11"/>
  <c r="F28" i="11"/>
  <c r="F29" i="11" s="1"/>
  <c r="E28" i="11"/>
  <c r="D28" i="11"/>
  <c r="E25" i="11"/>
  <c r="F102" i="11"/>
  <c r="F103" i="11"/>
  <c r="F247" i="11" s="1"/>
  <c r="F101" i="11"/>
  <c r="F98" i="11"/>
  <c r="E109" i="11"/>
  <c r="E248" i="11" s="1"/>
  <c r="E103" i="11"/>
  <c r="E102" i="11"/>
  <c r="E101" i="11"/>
  <c r="E98" i="11"/>
  <c r="E67" i="11"/>
  <c r="F61" i="11"/>
  <c r="E50" i="11"/>
  <c r="E47" i="11"/>
  <c r="E45" i="11"/>
  <c r="E43" i="11"/>
  <c r="E39" i="11"/>
  <c r="F39" i="11"/>
  <c r="F27" i="11"/>
  <c r="E20" i="11"/>
  <c r="E148" i="11" s="1"/>
  <c r="E151" i="11" s="1"/>
  <c r="E152" i="11" s="1"/>
  <c r="E26" i="11"/>
  <c r="G286" i="11"/>
  <c r="G285" i="11"/>
  <c r="G280" i="11"/>
  <c r="G281" i="11" s="1"/>
  <c r="G282" i="11"/>
  <c r="G283" i="11"/>
  <c r="B26" i="13"/>
  <c r="C26" i="13"/>
  <c r="D26" i="13"/>
  <c r="E26" i="13"/>
  <c r="A27" i="13"/>
  <c r="B27" i="13"/>
  <c r="C27" i="13"/>
  <c r="D27" i="13"/>
  <c r="A28" i="13"/>
  <c r="B28" i="13"/>
  <c r="C28" i="13"/>
  <c r="D28" i="13"/>
  <c r="A29" i="13"/>
  <c r="B29" i="13"/>
  <c r="C29" i="13"/>
  <c r="D29" i="13"/>
  <c r="E29" i="13"/>
  <c r="A30" i="13"/>
  <c r="A31" i="13"/>
  <c r="B31" i="13"/>
  <c r="C31" i="13"/>
  <c r="D31" i="13"/>
  <c r="E31" i="13"/>
  <c r="B83" i="10"/>
  <c r="A15" i="13"/>
  <c r="A14" i="13"/>
  <c r="E13" i="13"/>
  <c r="D13" i="13"/>
  <c r="A13" i="13"/>
  <c r="D12" i="13"/>
  <c r="A12" i="13"/>
  <c r="A11" i="13"/>
  <c r="E10" i="13"/>
  <c r="D10" i="13"/>
  <c r="E9" i="13"/>
  <c r="D9" i="13"/>
  <c r="A9" i="13"/>
  <c r="A8" i="13"/>
  <c r="D7" i="13"/>
  <c r="A7" i="13"/>
  <c r="A6" i="13"/>
  <c r="A5" i="13"/>
  <c r="A4" i="13"/>
  <c r="D3" i="13"/>
  <c r="A3" i="13"/>
  <c r="E2" i="13"/>
  <c r="D2" i="13"/>
  <c r="E1" i="13"/>
  <c r="D1" i="13"/>
  <c r="A1" i="13"/>
  <c r="B75" i="10"/>
  <c r="C75" i="10"/>
  <c r="D75" i="10"/>
  <c r="G75" i="10"/>
  <c r="B45" i="10"/>
  <c r="C45" i="10"/>
  <c r="B82" i="10"/>
  <c r="C82" i="10"/>
  <c r="C83" i="10"/>
  <c r="B50" i="10"/>
  <c r="C50" i="10"/>
  <c r="B52" i="10"/>
  <c r="C52" i="10"/>
  <c r="B39" i="10"/>
  <c r="C39" i="10"/>
  <c r="B27" i="10"/>
  <c r="C27" i="10"/>
  <c r="B29" i="10"/>
  <c r="C29" i="10"/>
  <c r="B30" i="10"/>
  <c r="C30" i="10"/>
  <c r="B31" i="10"/>
  <c r="C31" i="10"/>
  <c r="B32" i="10"/>
  <c r="C32" i="10"/>
  <c r="B11" i="12"/>
  <c r="C11" i="12"/>
  <c r="B13" i="12"/>
  <c r="B14" i="12"/>
  <c r="C14" i="12"/>
  <c r="B3" i="12"/>
  <c r="C3" i="12"/>
  <c r="B8" i="12"/>
  <c r="C8" i="12"/>
  <c r="B109" i="9"/>
  <c r="C109" i="9"/>
  <c r="B113" i="9"/>
  <c r="C113" i="9"/>
  <c r="B114" i="9"/>
  <c r="C114" i="9"/>
  <c r="B103" i="9"/>
  <c r="C103" i="9"/>
  <c r="B104" i="9"/>
  <c r="C104" i="9"/>
  <c r="B105" i="9"/>
  <c r="C105" i="9"/>
  <c r="B90" i="9"/>
  <c r="C90" i="9"/>
  <c r="B91" i="9"/>
  <c r="C91" i="9"/>
  <c r="B92" i="9"/>
  <c r="C92" i="9"/>
  <c r="B94" i="9"/>
  <c r="C94" i="9"/>
  <c r="B95" i="9"/>
  <c r="C95" i="9"/>
  <c r="B73" i="9"/>
  <c r="C73" i="9"/>
  <c r="B74" i="9"/>
  <c r="C74" i="9"/>
  <c r="B63" i="9"/>
  <c r="C63" i="9"/>
  <c r="B52" i="8"/>
  <c r="C52" i="8"/>
  <c r="B53" i="8"/>
  <c r="C53" i="8"/>
  <c r="B57" i="8"/>
  <c r="C57" i="8"/>
  <c r="B39" i="8"/>
  <c r="C39" i="8"/>
  <c r="B45" i="8"/>
  <c r="C45" i="8"/>
  <c r="B31" i="8"/>
  <c r="C31" i="8"/>
  <c r="B33" i="8"/>
  <c r="C33" i="8"/>
  <c r="B34" i="8"/>
  <c r="C34" i="8"/>
  <c r="B36" i="8"/>
  <c r="C36" i="8"/>
  <c r="B19" i="8"/>
  <c r="C19" i="8"/>
  <c r="B20" i="8"/>
  <c r="C20" i="8"/>
  <c r="B21" i="8"/>
  <c r="C21" i="8"/>
  <c r="B22" i="8"/>
  <c r="C22" i="8"/>
  <c r="B23" i="8"/>
  <c r="C23" i="8"/>
  <c r="B24" i="8"/>
  <c r="C24" i="8"/>
  <c r="B9" i="8"/>
  <c r="C9" i="8"/>
  <c r="B10" i="8"/>
  <c r="C10" i="8"/>
  <c r="B13" i="8"/>
  <c r="C13" i="8"/>
  <c r="B3" i="8"/>
  <c r="C3" i="8"/>
  <c r="B4" i="8"/>
  <c r="C4" i="8"/>
  <c r="B5" i="8"/>
  <c r="C5" i="8"/>
  <c r="C43" i="11"/>
  <c r="C29" i="8" s="1"/>
  <c r="B43" i="11"/>
  <c r="B29" i="8" s="1"/>
  <c r="B79" i="11"/>
  <c r="B65" i="9" s="1"/>
  <c r="C79" i="11"/>
  <c r="C65" i="9" s="1"/>
  <c r="B115" i="11"/>
  <c r="B112" i="9" s="1"/>
  <c r="C115" i="11"/>
  <c r="C112" i="9" s="1"/>
  <c r="E40" i="11" l="1"/>
  <c r="E46" i="11" s="1"/>
  <c r="E182" i="11"/>
  <c r="E104" i="11"/>
  <c r="E144" i="11" s="1"/>
  <c r="E247" i="11"/>
  <c r="E249" i="11" s="1"/>
  <c r="E250" i="11" s="1"/>
  <c r="E251" i="11"/>
  <c r="E164" i="11"/>
  <c r="F249" i="11"/>
  <c r="F250" i="11" s="1"/>
  <c r="E56" i="11"/>
  <c r="E110" i="11"/>
  <c r="E80" i="11"/>
  <c r="E58" i="11"/>
  <c r="F80" i="11"/>
  <c r="F248" i="11"/>
  <c r="E61" i="11"/>
  <c r="E29" i="10"/>
  <c r="E30" i="10"/>
  <c r="E115" i="11"/>
  <c r="F104" i="11"/>
  <c r="F68" i="11" s="1"/>
  <c r="F81" i="11" s="1"/>
  <c r="F182" i="11"/>
  <c r="F169" i="11" s="1"/>
  <c r="E160" i="11"/>
  <c r="F116" i="11"/>
  <c r="F119" i="11"/>
  <c r="F152" i="11"/>
  <c r="F44" i="11"/>
  <c r="E181" i="11"/>
  <c r="E168" i="11"/>
  <c r="F55" i="11"/>
  <c r="E44" i="11"/>
  <c r="E55" i="11"/>
  <c r="E169" i="11"/>
  <c r="F110" i="11"/>
  <c r="F40" i="11"/>
  <c r="F211" i="11" s="1"/>
  <c r="E68" i="11"/>
  <c r="E72" i="11"/>
  <c r="E73" i="11" s="1"/>
  <c r="F30" i="11"/>
  <c r="F31" i="11" s="1"/>
  <c r="B114" i="11"/>
  <c r="B111" i="9" s="1"/>
  <c r="C114" i="11"/>
  <c r="C111" i="9" s="1"/>
  <c r="C78" i="11"/>
  <c r="B78" i="11"/>
  <c r="B147" i="11"/>
  <c r="C147" i="11"/>
  <c r="B158" i="11"/>
  <c r="B30" i="13" s="1"/>
  <c r="C158" i="11"/>
  <c r="C30" i="13" s="1"/>
  <c r="B190" i="11"/>
  <c r="B4" i="12" s="1"/>
  <c r="C190" i="11"/>
  <c r="C4" i="12" s="1"/>
  <c r="B109" i="11"/>
  <c r="C109" i="11"/>
  <c r="B54" i="11"/>
  <c r="B40" i="8" s="1"/>
  <c r="C54" i="11"/>
  <c r="C40" i="8" s="1"/>
  <c r="B56" i="11"/>
  <c r="B42" i="8" s="1"/>
  <c r="C56" i="11"/>
  <c r="C42" i="8" s="1"/>
  <c r="B58" i="11"/>
  <c r="B44" i="8" s="1"/>
  <c r="C58" i="11"/>
  <c r="C44" i="8" s="1"/>
  <c r="B61" i="11"/>
  <c r="B47" i="8" s="1"/>
  <c r="C61" i="11"/>
  <c r="C47" i="8" s="1"/>
  <c r="B28" i="11"/>
  <c r="B14" i="8" s="1"/>
  <c r="C28" i="11"/>
  <c r="B127" i="11"/>
  <c r="B128" i="11"/>
  <c r="C128" i="11"/>
  <c r="B192" i="11"/>
  <c r="B6" i="12" s="1"/>
  <c r="C192" i="11"/>
  <c r="C199" i="11"/>
  <c r="B39" i="11"/>
  <c r="B25" i="8" s="1"/>
  <c r="C39" i="11"/>
  <c r="C25" i="8" s="1"/>
  <c r="C25" i="11"/>
  <c r="C11" i="8" s="1"/>
  <c r="B25" i="11"/>
  <c r="B11" i="8" s="1"/>
  <c r="E57" i="11" l="1"/>
  <c r="E211" i="11"/>
  <c r="E60" i="11"/>
  <c r="E62" i="11" s="1"/>
  <c r="E49" i="11"/>
  <c r="E51" i="11" s="1"/>
  <c r="F212" i="11"/>
  <c r="F33" i="10"/>
  <c r="E180" i="11"/>
  <c r="E167" i="11"/>
  <c r="E212" i="11"/>
  <c r="E33" i="10"/>
  <c r="C14" i="8"/>
  <c r="C29" i="11"/>
  <c r="C15" i="8" s="1"/>
  <c r="E69" i="11"/>
  <c r="E81" i="11"/>
  <c r="F84" i="11"/>
  <c r="C6" i="12"/>
  <c r="F192" i="11"/>
  <c r="F120" i="11"/>
  <c r="F251" i="11"/>
  <c r="F72" i="11"/>
  <c r="F73" i="11" s="1"/>
  <c r="F144" i="11"/>
  <c r="F180" i="11" s="1"/>
  <c r="F160" i="11"/>
  <c r="F69" i="11"/>
  <c r="F83" i="11"/>
  <c r="F91" i="11"/>
  <c r="F90" i="11" s="1"/>
  <c r="F70" i="11" s="1"/>
  <c r="F82" i="11"/>
  <c r="F133" i="11" s="1"/>
  <c r="F85" i="11"/>
  <c r="F89" i="11" s="1"/>
  <c r="F117" i="11"/>
  <c r="F181" i="11"/>
  <c r="F168" i="11"/>
  <c r="F57" i="11"/>
  <c r="F60" i="11" s="1"/>
  <c r="F62" i="11" s="1"/>
  <c r="F46" i="11"/>
  <c r="F49" i="11" s="1"/>
  <c r="F51" i="11" s="1"/>
  <c r="C80" i="11"/>
  <c r="C66" i="9" s="1"/>
  <c r="C106" i="9"/>
  <c r="B248" i="11"/>
  <c r="B106" i="9"/>
  <c r="B80" i="11"/>
  <c r="B66" i="9" s="1"/>
  <c r="C127" i="11"/>
  <c r="C13" i="12"/>
  <c r="B113" i="11"/>
  <c r="B116" i="11" s="1"/>
  <c r="B64" i="9"/>
  <c r="C113" i="11"/>
  <c r="C64" i="9"/>
  <c r="C248" i="11"/>
  <c r="B26" i="11"/>
  <c r="B12" i="8" s="1"/>
  <c r="C26" i="11"/>
  <c r="C12" i="8" s="1"/>
  <c r="B29" i="11"/>
  <c r="B15" i="8" s="1"/>
  <c r="B20" i="11"/>
  <c r="B6" i="8" s="1"/>
  <c r="C20" i="11"/>
  <c r="C6" i="8" s="1"/>
  <c r="G20" i="11"/>
  <c r="E6" i="9" s="1"/>
  <c r="D20" i="11"/>
  <c r="D6" i="8" s="1"/>
  <c r="B98" i="11"/>
  <c r="B93" i="9" s="1"/>
  <c r="C98" i="11"/>
  <c r="C93" i="9" s="1"/>
  <c r="B101" i="11"/>
  <c r="B96" i="9" s="1"/>
  <c r="C101" i="11"/>
  <c r="C96" i="9" s="1"/>
  <c r="B102" i="11"/>
  <c r="B97" i="9" s="1"/>
  <c r="C102" i="11"/>
  <c r="C97" i="9" s="1"/>
  <c r="B103" i="11"/>
  <c r="B98" i="9" s="1"/>
  <c r="C103" i="11"/>
  <c r="D83" i="12"/>
  <c r="A83" i="12"/>
  <c r="A82" i="12"/>
  <c r="E81" i="12"/>
  <c r="D81" i="12"/>
  <c r="A81" i="12"/>
  <c r="E80" i="12"/>
  <c r="D80" i="12"/>
  <c r="E79" i="12"/>
  <c r="D79" i="12"/>
  <c r="A79" i="12"/>
  <c r="A77" i="12"/>
  <c r="A76" i="12"/>
  <c r="A75" i="12"/>
  <c r="A74" i="12"/>
  <c r="A73" i="12"/>
  <c r="A72" i="12"/>
  <c r="A71" i="12"/>
  <c r="A70" i="12"/>
  <c r="A69" i="12"/>
  <c r="E68" i="12"/>
  <c r="D68" i="12"/>
  <c r="A68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E53" i="12"/>
  <c r="D53" i="12"/>
  <c r="A53" i="12"/>
  <c r="A52" i="12"/>
  <c r="E51" i="12"/>
  <c r="D51" i="12"/>
  <c r="A50" i="12"/>
  <c r="A47" i="12"/>
  <c r="E46" i="12"/>
  <c r="D46" i="12"/>
  <c r="E45" i="12"/>
  <c r="D45" i="12"/>
  <c r="A45" i="12"/>
  <c r="A42" i="12"/>
  <c r="A41" i="12"/>
  <c r="E40" i="12"/>
  <c r="D40" i="12"/>
  <c r="E39" i="12"/>
  <c r="D39" i="12"/>
  <c r="A39" i="12"/>
  <c r="A37" i="12"/>
  <c r="A36" i="12"/>
  <c r="A35" i="12"/>
  <c r="A34" i="12"/>
  <c r="E33" i="12"/>
  <c r="D33" i="12"/>
  <c r="A33" i="12"/>
  <c r="E32" i="12"/>
  <c r="D32" i="12"/>
  <c r="A32" i="12"/>
  <c r="E31" i="12"/>
  <c r="D31" i="12"/>
  <c r="A31" i="12"/>
  <c r="E30" i="12"/>
  <c r="D30" i="12"/>
  <c r="A30" i="12"/>
  <c r="A29" i="12"/>
  <c r="E28" i="12"/>
  <c r="D28" i="12"/>
  <c r="E27" i="12"/>
  <c r="D27" i="12"/>
  <c r="A27" i="12"/>
  <c r="A16" i="12"/>
  <c r="A15" i="12"/>
  <c r="E14" i="12"/>
  <c r="D14" i="12"/>
  <c r="A14" i="12"/>
  <c r="D13" i="12"/>
  <c r="A13" i="12"/>
  <c r="A12" i="12"/>
  <c r="E11" i="12"/>
  <c r="D11" i="12"/>
  <c r="E10" i="12"/>
  <c r="D10" i="12"/>
  <c r="A10" i="12"/>
  <c r="A9" i="12"/>
  <c r="D8" i="12"/>
  <c r="A8" i="12"/>
  <c r="A7" i="12"/>
  <c r="A6" i="12"/>
  <c r="A5" i="12"/>
  <c r="D4" i="12"/>
  <c r="A4" i="12"/>
  <c r="E3" i="12"/>
  <c r="D3" i="12"/>
  <c r="E2" i="12"/>
  <c r="D2" i="12"/>
  <c r="A2" i="12"/>
  <c r="A81" i="10"/>
  <c r="D82" i="10"/>
  <c r="G82" i="10"/>
  <c r="A83" i="10"/>
  <c r="D83" i="10"/>
  <c r="G83" i="10"/>
  <c r="A84" i="10"/>
  <c r="A85" i="10"/>
  <c r="D42" i="2"/>
  <c r="C42" i="2"/>
  <c r="A67" i="10"/>
  <c r="D67" i="10"/>
  <c r="G67" i="10"/>
  <c r="A68" i="10"/>
  <c r="A69" i="10"/>
  <c r="A70" i="10"/>
  <c r="A71" i="10"/>
  <c r="A72" i="10"/>
  <c r="A73" i="10"/>
  <c r="A74" i="10"/>
  <c r="A76" i="10"/>
  <c r="A77" i="10"/>
  <c r="A68" i="9"/>
  <c r="A69" i="9"/>
  <c r="A70" i="9"/>
  <c r="A65" i="10"/>
  <c r="A59" i="10"/>
  <c r="A60" i="10"/>
  <c r="A61" i="10"/>
  <c r="A62" i="10"/>
  <c r="A63" i="10"/>
  <c r="A64" i="10"/>
  <c r="A49" i="10"/>
  <c r="D50" i="10"/>
  <c r="G50" i="10"/>
  <c r="A51" i="10"/>
  <c r="A52" i="10"/>
  <c r="D52" i="10"/>
  <c r="G52" i="10"/>
  <c r="A53" i="10"/>
  <c r="A54" i="10"/>
  <c r="A55" i="10"/>
  <c r="A56" i="10"/>
  <c r="A57" i="10"/>
  <c r="A58" i="10"/>
  <c r="A66" i="9"/>
  <c r="A67" i="9"/>
  <c r="A13" i="10"/>
  <c r="D13" i="10"/>
  <c r="G13" i="10"/>
  <c r="G128" i="11"/>
  <c r="C6" i="3" s="1"/>
  <c r="D128" i="11"/>
  <c r="B6" i="3" s="1"/>
  <c r="A6" i="3"/>
  <c r="A1" i="10"/>
  <c r="D1" i="10"/>
  <c r="G1" i="10"/>
  <c r="D2" i="10"/>
  <c r="G2" i="10"/>
  <c r="A3" i="10"/>
  <c r="D3" i="10"/>
  <c r="A4" i="10"/>
  <c r="A5" i="10"/>
  <c r="A6" i="10"/>
  <c r="A7" i="10"/>
  <c r="D7" i="10"/>
  <c r="A8" i="10"/>
  <c r="A9" i="10"/>
  <c r="D9" i="10"/>
  <c r="G9" i="10"/>
  <c r="D10" i="10"/>
  <c r="G10" i="10"/>
  <c r="A11" i="10"/>
  <c r="A12" i="10"/>
  <c r="D12" i="10"/>
  <c r="A14" i="10"/>
  <c r="A15" i="10"/>
  <c r="A26" i="10"/>
  <c r="D26" i="10"/>
  <c r="G26" i="10"/>
  <c r="D27" i="10"/>
  <c r="G27" i="10"/>
  <c r="A28" i="10"/>
  <c r="A29" i="10"/>
  <c r="D29" i="10"/>
  <c r="G29" i="10"/>
  <c r="A30" i="10"/>
  <c r="D30" i="10"/>
  <c r="G30" i="10"/>
  <c r="A31" i="10"/>
  <c r="D31" i="10"/>
  <c r="G31" i="10"/>
  <c r="A32" i="10"/>
  <c r="D32" i="10"/>
  <c r="G32" i="10"/>
  <c r="A33" i="10"/>
  <c r="A34" i="10"/>
  <c r="A35" i="10"/>
  <c r="A36" i="10"/>
  <c r="A38" i="10"/>
  <c r="D38" i="10"/>
  <c r="G38" i="10"/>
  <c r="D39" i="10"/>
  <c r="G39" i="10"/>
  <c r="A40" i="10"/>
  <c r="A41" i="10"/>
  <c r="A44" i="10"/>
  <c r="D44" i="10"/>
  <c r="G44" i="10"/>
  <c r="D45" i="10"/>
  <c r="G45" i="10"/>
  <c r="A46" i="10"/>
  <c r="B2" i="3"/>
  <c r="C2" i="3"/>
  <c r="A9" i="3"/>
  <c r="B9" i="3"/>
  <c r="C9" i="3"/>
  <c r="B10" i="3"/>
  <c r="C10" i="3"/>
  <c r="A11" i="3"/>
  <c r="A12" i="3"/>
  <c r="A13" i="3"/>
  <c r="A14" i="3"/>
  <c r="B14" i="3"/>
  <c r="A15" i="3"/>
  <c r="A16" i="3"/>
  <c r="A17" i="3"/>
  <c r="A18" i="3"/>
  <c r="B18" i="3"/>
  <c r="C18" i="3"/>
  <c r="B19" i="3"/>
  <c r="C19" i="3"/>
  <c r="A20" i="3"/>
  <c r="B20" i="3"/>
  <c r="C20" i="3"/>
  <c r="A21" i="3"/>
  <c r="A22" i="3"/>
  <c r="A25" i="3"/>
  <c r="B25" i="3"/>
  <c r="C25" i="3"/>
  <c r="B26" i="3"/>
  <c r="C26" i="3"/>
  <c r="A27" i="3"/>
  <c r="B27" i="3"/>
  <c r="C27" i="3"/>
  <c r="A28" i="3"/>
  <c r="A29" i="3"/>
  <c r="B29" i="3"/>
  <c r="C29" i="3"/>
  <c r="A30" i="3"/>
  <c r="B30" i="3"/>
  <c r="C30" i="3"/>
  <c r="A31" i="3"/>
  <c r="A32" i="3"/>
  <c r="A33" i="3"/>
  <c r="B33" i="3"/>
  <c r="C33" i="3"/>
  <c r="B34" i="3"/>
  <c r="C34" i="3"/>
  <c r="A35" i="3"/>
  <c r="B35" i="3"/>
  <c r="A36" i="3"/>
  <c r="B36" i="3"/>
  <c r="A37" i="3"/>
  <c r="A38" i="3"/>
  <c r="B38" i="3"/>
  <c r="C38" i="3"/>
  <c r="A39" i="3"/>
  <c r="A49" i="3"/>
  <c r="B49" i="3"/>
  <c r="C49" i="3"/>
  <c r="B50" i="3"/>
  <c r="C50" i="3"/>
  <c r="A51" i="3"/>
  <c r="A52" i="3"/>
  <c r="A53" i="3"/>
  <c r="A54" i="3"/>
  <c r="A55" i="3"/>
  <c r="A56" i="3"/>
  <c r="A57" i="3"/>
  <c r="A58" i="3"/>
  <c r="A59" i="3"/>
  <c r="A60" i="3"/>
  <c r="B60" i="3"/>
  <c r="C60" i="3"/>
  <c r="B61" i="3"/>
  <c r="C61" i="3"/>
  <c r="A62" i="3"/>
  <c r="B62" i="3"/>
  <c r="C62" i="3"/>
  <c r="A63" i="3"/>
  <c r="A64" i="3"/>
  <c r="A65" i="3"/>
  <c r="A66" i="3"/>
  <c r="A67" i="3"/>
  <c r="A68" i="3"/>
  <c r="A69" i="3"/>
  <c r="A70" i="3"/>
  <c r="A2" i="9"/>
  <c r="D3" i="9"/>
  <c r="E3" i="9"/>
  <c r="A4" i="9"/>
  <c r="D4" i="9"/>
  <c r="E4" i="9"/>
  <c r="A5" i="9"/>
  <c r="D5" i="9"/>
  <c r="E5" i="9"/>
  <c r="A6" i="9"/>
  <c r="A7" i="9"/>
  <c r="D7" i="9"/>
  <c r="E7" i="9"/>
  <c r="A8" i="9"/>
  <c r="D9" i="9"/>
  <c r="E9" i="9"/>
  <c r="A10" i="9"/>
  <c r="E10" i="9"/>
  <c r="A11" i="9"/>
  <c r="A12" i="9"/>
  <c r="A13" i="9"/>
  <c r="A14" i="9"/>
  <c r="A15" i="9"/>
  <c r="A16" i="9"/>
  <c r="A17" i="9"/>
  <c r="A18" i="9"/>
  <c r="D19" i="9"/>
  <c r="E19" i="9"/>
  <c r="A20" i="9"/>
  <c r="D20" i="9"/>
  <c r="E20" i="9"/>
  <c r="A21" i="9"/>
  <c r="D21" i="9"/>
  <c r="E21" i="9"/>
  <c r="A22" i="9"/>
  <c r="D22" i="9"/>
  <c r="E22" i="9"/>
  <c r="A23" i="9"/>
  <c r="D23" i="9"/>
  <c r="E23" i="9"/>
  <c r="A24" i="9"/>
  <c r="D24" i="9"/>
  <c r="E24" i="9"/>
  <c r="A25" i="9"/>
  <c r="A26" i="9"/>
  <c r="A27" i="9"/>
  <c r="D28" i="9"/>
  <c r="E28" i="9"/>
  <c r="A29" i="9"/>
  <c r="D29" i="9"/>
  <c r="E29" i="9"/>
  <c r="A31" i="9"/>
  <c r="D31" i="9"/>
  <c r="E31" i="9"/>
  <c r="A33" i="9"/>
  <c r="D33" i="9"/>
  <c r="E33" i="9"/>
  <c r="D34" i="9"/>
  <c r="E34" i="9"/>
  <c r="A35" i="9"/>
  <c r="A36" i="9"/>
  <c r="D36" i="9"/>
  <c r="E36" i="9"/>
  <c r="A37" i="9"/>
  <c r="A38" i="9"/>
  <c r="A39" i="9"/>
  <c r="D39" i="9"/>
  <c r="E39" i="9"/>
  <c r="A40" i="9"/>
  <c r="A42" i="9"/>
  <c r="A44" i="9"/>
  <c r="D45" i="9"/>
  <c r="E45" i="9"/>
  <c r="A46" i="9"/>
  <c r="A47" i="9"/>
  <c r="A48" i="9"/>
  <c r="A49" i="9"/>
  <c r="D49" i="9"/>
  <c r="E49" i="9"/>
  <c r="A50" i="9"/>
  <c r="D50" i="9"/>
  <c r="E50" i="9"/>
  <c r="A51" i="9"/>
  <c r="A52" i="9"/>
  <c r="D52" i="9"/>
  <c r="E52" i="9"/>
  <c r="A53" i="9"/>
  <c r="D53" i="9"/>
  <c r="E53" i="9"/>
  <c r="A54" i="9"/>
  <c r="A55" i="9"/>
  <c r="A56" i="9"/>
  <c r="A57" i="9"/>
  <c r="D57" i="9"/>
  <c r="E57" i="9"/>
  <c r="A58" i="9"/>
  <c r="A59" i="9"/>
  <c r="A60" i="9"/>
  <c r="A61" i="9"/>
  <c r="D61" i="9"/>
  <c r="E61" i="9"/>
  <c r="A62" i="9"/>
  <c r="D63" i="9"/>
  <c r="E63" i="9"/>
  <c r="A64" i="9"/>
  <c r="A65" i="9"/>
  <c r="A71" i="9"/>
  <c r="A72" i="9"/>
  <c r="D73" i="9"/>
  <c r="E73" i="9"/>
  <c r="A74" i="9"/>
  <c r="D74" i="9"/>
  <c r="E74" i="9"/>
  <c r="A75" i="9"/>
  <c r="A76" i="9"/>
  <c r="A77" i="9"/>
  <c r="A78" i="9"/>
  <c r="D79" i="9"/>
  <c r="E79" i="9"/>
  <c r="A89" i="9"/>
  <c r="D90" i="9"/>
  <c r="E90" i="9"/>
  <c r="A91" i="9"/>
  <c r="D91" i="9"/>
  <c r="E91" i="9"/>
  <c r="A92" i="9"/>
  <c r="D92" i="9"/>
  <c r="E92" i="9"/>
  <c r="A93" i="9"/>
  <c r="A94" i="9"/>
  <c r="D94" i="9"/>
  <c r="E94" i="9"/>
  <c r="A95" i="9"/>
  <c r="D95" i="9"/>
  <c r="E95" i="9"/>
  <c r="A96" i="9"/>
  <c r="A97" i="9"/>
  <c r="A98" i="9"/>
  <c r="A99" i="9"/>
  <c r="A102" i="9"/>
  <c r="D103" i="9"/>
  <c r="E103" i="9"/>
  <c r="A104" i="9"/>
  <c r="D104" i="9"/>
  <c r="E104" i="9"/>
  <c r="A105" i="9"/>
  <c r="D105" i="9"/>
  <c r="E105" i="9"/>
  <c r="A106" i="9"/>
  <c r="A107" i="9"/>
  <c r="A108" i="9"/>
  <c r="D109" i="9"/>
  <c r="E109" i="9"/>
  <c r="A110" i="9"/>
  <c r="A111" i="9"/>
  <c r="A112" i="9"/>
  <c r="A113" i="9"/>
  <c r="A114" i="9"/>
  <c r="A1" i="8"/>
  <c r="A2" i="8"/>
  <c r="D3" i="8"/>
  <c r="G3" i="8"/>
  <c r="A4" i="8"/>
  <c r="D4" i="8"/>
  <c r="G4" i="8"/>
  <c r="A5" i="8"/>
  <c r="D5" i="8"/>
  <c r="G5" i="8"/>
  <c r="A6" i="8"/>
  <c r="A7" i="8"/>
  <c r="D7" i="8"/>
  <c r="G7" i="8"/>
  <c r="A8" i="8"/>
  <c r="D9" i="8"/>
  <c r="G9" i="8"/>
  <c r="A10" i="8"/>
  <c r="G10" i="8"/>
  <c r="A11" i="8"/>
  <c r="A12" i="8"/>
  <c r="A13" i="8"/>
  <c r="A14" i="8"/>
  <c r="A15" i="8"/>
  <c r="A16" i="8"/>
  <c r="A17" i="8"/>
  <c r="A18" i="8"/>
  <c r="D19" i="8"/>
  <c r="G19" i="8"/>
  <c r="A20" i="8"/>
  <c r="D20" i="8"/>
  <c r="G20" i="8"/>
  <c r="A21" i="8"/>
  <c r="D21" i="8"/>
  <c r="G21" i="8"/>
  <c r="A22" i="8"/>
  <c r="D22" i="8"/>
  <c r="G22" i="8"/>
  <c r="A23" i="8"/>
  <c r="D23" i="8"/>
  <c r="G23" i="8"/>
  <c r="A24" i="8"/>
  <c r="D24" i="8"/>
  <c r="G24" i="8"/>
  <c r="A25" i="8"/>
  <c r="A26" i="8"/>
  <c r="A27" i="8"/>
  <c r="D28" i="8"/>
  <c r="G28" i="8"/>
  <c r="A29" i="8"/>
  <c r="D29" i="8"/>
  <c r="G29" i="8"/>
  <c r="A31" i="8"/>
  <c r="D31" i="8"/>
  <c r="G31" i="8"/>
  <c r="A33" i="8"/>
  <c r="D33" i="8"/>
  <c r="G33" i="8"/>
  <c r="D34" i="8"/>
  <c r="G34" i="8"/>
  <c r="A35" i="8"/>
  <c r="A36" i="8"/>
  <c r="D36" i="8"/>
  <c r="G36" i="8"/>
  <c r="A37" i="8"/>
  <c r="A38" i="8"/>
  <c r="D39" i="8"/>
  <c r="G39" i="8"/>
  <c r="A40" i="8"/>
  <c r="A42" i="8"/>
  <c r="A44" i="8"/>
  <c r="D45" i="8"/>
  <c r="G45" i="8"/>
  <c r="A46" i="8"/>
  <c r="A47" i="8"/>
  <c r="A48" i="8"/>
  <c r="A51" i="8"/>
  <c r="D52" i="8"/>
  <c r="G52" i="8"/>
  <c r="A53" i="8"/>
  <c r="D53" i="8"/>
  <c r="G53" i="8"/>
  <c r="A54" i="8"/>
  <c r="A55" i="8"/>
  <c r="A56" i="8"/>
  <c r="A57" i="8"/>
  <c r="D57" i="8"/>
  <c r="G57" i="8"/>
  <c r="A58" i="8"/>
  <c r="A59" i="8"/>
  <c r="A60" i="8"/>
  <c r="G199" i="11"/>
  <c r="G198" i="11"/>
  <c r="G194" i="11"/>
  <c r="D192" i="11"/>
  <c r="G190" i="11"/>
  <c r="D158" i="11"/>
  <c r="G155" i="11"/>
  <c r="G143" i="11"/>
  <c r="C21" i="3" s="1"/>
  <c r="D143" i="11"/>
  <c r="B21" i="3" s="1"/>
  <c r="G137" i="11"/>
  <c r="C15" i="3" s="1"/>
  <c r="G136" i="11"/>
  <c r="C14" i="3" s="1"/>
  <c r="A130" i="11"/>
  <c r="A8" i="3" s="1"/>
  <c r="A129" i="11"/>
  <c r="A7" i="3" s="1"/>
  <c r="D127" i="11"/>
  <c r="B5" i="3" s="1"/>
  <c r="A127" i="11"/>
  <c r="A5" i="3" s="1"/>
  <c r="A126" i="11"/>
  <c r="A4" i="3" s="1"/>
  <c r="G125" i="11"/>
  <c r="C3" i="3" s="1"/>
  <c r="D125" i="11"/>
  <c r="B3" i="3" s="1"/>
  <c r="A124" i="11"/>
  <c r="A2" i="3" s="1"/>
  <c r="G121" i="11"/>
  <c r="D121" i="11"/>
  <c r="G118" i="11"/>
  <c r="D118" i="11"/>
  <c r="G115" i="11"/>
  <c r="E112" i="9" s="1"/>
  <c r="D112" i="9"/>
  <c r="G109" i="11"/>
  <c r="G248" i="11" s="1"/>
  <c r="D109" i="11"/>
  <c r="D248" i="11" s="1"/>
  <c r="G103" i="11"/>
  <c r="G164" i="11" s="1"/>
  <c r="C51" i="3" s="1"/>
  <c r="D103" i="11"/>
  <c r="D164" i="11" s="1"/>
  <c r="B51" i="3" s="1"/>
  <c r="G102" i="11"/>
  <c r="E97" i="9" s="1"/>
  <c r="D102" i="11"/>
  <c r="G101" i="11"/>
  <c r="E96" i="9" s="1"/>
  <c r="D101" i="11"/>
  <c r="D96" i="9" s="1"/>
  <c r="G98" i="11"/>
  <c r="E93" i="9" s="1"/>
  <c r="D98" i="11"/>
  <c r="D93" i="9" s="1"/>
  <c r="G79" i="11"/>
  <c r="E65" i="9" s="1"/>
  <c r="D79" i="11"/>
  <c r="G61" i="11"/>
  <c r="E47" i="9" s="1"/>
  <c r="D61" i="11"/>
  <c r="D47" i="9" s="1"/>
  <c r="G58" i="11"/>
  <c r="E44" i="9" s="1"/>
  <c r="D58" i="11"/>
  <c r="D44" i="8" s="1"/>
  <c r="G56" i="11"/>
  <c r="G42" i="8" s="1"/>
  <c r="D56" i="11"/>
  <c r="D42" i="9" s="1"/>
  <c r="G54" i="11"/>
  <c r="E40" i="9" s="1"/>
  <c r="D54" i="11"/>
  <c r="D40" i="9" s="1"/>
  <c r="G39" i="11"/>
  <c r="G25" i="8" s="1"/>
  <c r="D39" i="11"/>
  <c r="D25" i="8" s="1"/>
  <c r="G28" i="11"/>
  <c r="D14" i="9"/>
  <c r="G27" i="11"/>
  <c r="D27" i="11"/>
  <c r="G26" i="11"/>
  <c r="G12" i="8" s="1"/>
  <c r="D25" i="11"/>
  <c r="D24" i="11"/>
  <c r="D10" i="9" s="1"/>
  <c r="A4" i="11"/>
  <c r="E191" i="11" s="1"/>
  <c r="C14" i="2"/>
  <c r="F74" i="11" l="1"/>
  <c r="F134" i="11" s="1"/>
  <c r="F135" i="11" s="1"/>
  <c r="F138" i="11" s="1"/>
  <c r="F167" i="11"/>
  <c r="E34" i="10"/>
  <c r="C30" i="11"/>
  <c r="C31" i="11" s="1"/>
  <c r="F34" i="10"/>
  <c r="F232" i="11"/>
  <c r="F238" i="11"/>
  <c r="E82" i="11"/>
  <c r="E133" i="11" s="1"/>
  <c r="E113" i="9"/>
  <c r="E118" i="11"/>
  <c r="E114" i="9"/>
  <c r="E121" i="11"/>
  <c r="E83" i="11"/>
  <c r="D13" i="9"/>
  <c r="D29" i="11"/>
  <c r="G13" i="8"/>
  <c r="E27" i="11"/>
  <c r="E29" i="11" s="1"/>
  <c r="E30" i="11" s="1"/>
  <c r="E31" i="11" s="1"/>
  <c r="E84" i="11"/>
  <c r="F201" i="11"/>
  <c r="F92" i="11"/>
  <c r="F193" i="11" s="1"/>
  <c r="F195" i="11" s="1"/>
  <c r="F166" i="11"/>
  <c r="F177" i="11"/>
  <c r="C36" i="3"/>
  <c r="E28" i="13"/>
  <c r="B37" i="3"/>
  <c r="D30" i="13"/>
  <c r="D72" i="12"/>
  <c r="G7" i="10"/>
  <c r="E7" i="13"/>
  <c r="G126" i="11"/>
  <c r="C4" i="3" s="1"/>
  <c r="E11" i="13"/>
  <c r="G12" i="10"/>
  <c r="E12" i="13"/>
  <c r="G3" i="10"/>
  <c r="E3" i="13"/>
  <c r="G192" i="11"/>
  <c r="E6" i="12" s="1"/>
  <c r="D5" i="13"/>
  <c r="C35" i="3"/>
  <c r="E27" i="13"/>
  <c r="D65" i="9"/>
  <c r="D6" i="9"/>
  <c r="B119" i="11"/>
  <c r="B120" i="11" s="1"/>
  <c r="B110" i="9"/>
  <c r="G148" i="11"/>
  <c r="G151" i="11" s="1"/>
  <c r="C31" i="3" s="1"/>
  <c r="C247" i="11"/>
  <c r="C251" i="11" s="1"/>
  <c r="C98" i="9"/>
  <c r="D148" i="11"/>
  <c r="D151" i="11" s="1"/>
  <c r="D44" i="11" s="1"/>
  <c r="D30" i="8" s="1"/>
  <c r="C119" i="11"/>
  <c r="C110" i="9"/>
  <c r="C116" i="11"/>
  <c r="C40" i="11"/>
  <c r="C148" i="11"/>
  <c r="C151" i="11" s="1"/>
  <c r="C104" i="11"/>
  <c r="C68" i="11" s="1"/>
  <c r="C54" i="8" s="1"/>
  <c r="B40" i="11"/>
  <c r="B26" i="8" s="1"/>
  <c r="B148" i="11"/>
  <c r="B151" i="11" s="1"/>
  <c r="G6" i="8"/>
  <c r="D198" i="11"/>
  <c r="C198" i="11"/>
  <c r="B198" i="11"/>
  <c r="C191" i="11"/>
  <c r="C5" i="12" s="1"/>
  <c r="B191" i="11"/>
  <c r="B5" i="12" s="1"/>
  <c r="B110" i="11"/>
  <c r="B107" i="9" s="1"/>
  <c r="B247" i="11"/>
  <c r="B251" i="11" s="1"/>
  <c r="C110" i="11"/>
  <c r="C107" i="9" s="1"/>
  <c r="B104" i="11"/>
  <c r="B30" i="11"/>
  <c r="D71" i="10"/>
  <c r="D6" i="12"/>
  <c r="G71" i="10"/>
  <c r="E72" i="12"/>
  <c r="E13" i="12"/>
  <c r="G266" i="11"/>
  <c r="G267" i="11" s="1"/>
  <c r="E12" i="12"/>
  <c r="E4" i="12"/>
  <c r="E8" i="12"/>
  <c r="D247" i="11"/>
  <c r="D251" i="11" s="1"/>
  <c r="G247" i="11"/>
  <c r="G251" i="11" s="1"/>
  <c r="D80" i="11"/>
  <c r="G80" i="11"/>
  <c r="D78" i="11"/>
  <c r="G78" i="11"/>
  <c r="G113" i="11" s="1"/>
  <c r="G116" i="11" s="1"/>
  <c r="D42" i="8"/>
  <c r="D104" i="11"/>
  <c r="D72" i="11" s="1"/>
  <c r="D13" i="8"/>
  <c r="D114" i="11"/>
  <c r="D111" i="9" s="1"/>
  <c r="G104" i="11"/>
  <c r="G68" i="11" s="1"/>
  <c r="G54" i="8" s="1"/>
  <c r="D114" i="9"/>
  <c r="D98" i="9"/>
  <c r="D44" i="9"/>
  <c r="D110" i="11"/>
  <c r="D107" i="9" s="1"/>
  <c r="D26" i="11"/>
  <c r="D12" i="8" s="1"/>
  <c r="G29" i="11"/>
  <c r="G15" i="8" s="1"/>
  <c r="G110" i="11"/>
  <c r="E107" i="9" s="1"/>
  <c r="D182" i="11"/>
  <c r="D10" i="8"/>
  <c r="E42" i="9"/>
  <c r="G127" i="11"/>
  <c r="C5" i="3" s="1"/>
  <c r="G40" i="8"/>
  <c r="D11" i="8"/>
  <c r="E98" i="9"/>
  <c r="E13" i="9"/>
  <c r="E12" i="9"/>
  <c r="G158" i="11"/>
  <c r="E30" i="13" s="1"/>
  <c r="G47" i="8"/>
  <c r="G14" i="8"/>
  <c r="D113" i="9"/>
  <c r="D97" i="9"/>
  <c r="D47" i="8"/>
  <c r="D40" i="8"/>
  <c r="D14" i="8"/>
  <c r="E11" i="9"/>
  <c r="G11" i="10"/>
  <c r="D11" i="9"/>
  <c r="E106" i="9"/>
  <c r="E14" i="9"/>
  <c r="G44" i="8"/>
  <c r="D106" i="9"/>
  <c r="E25" i="9"/>
  <c r="G11" i="8"/>
  <c r="D5" i="10"/>
  <c r="D25" i="9"/>
  <c r="G40" i="11"/>
  <c r="E26" i="9" s="1"/>
  <c r="D40" i="11"/>
  <c r="D26" i="9" s="1"/>
  <c r="D191" i="11"/>
  <c r="D4" i="13" s="1"/>
  <c r="G191" i="11"/>
  <c r="E4" i="13" s="1"/>
  <c r="G114" i="11"/>
  <c r="E111" i="9" s="1"/>
  <c r="C72" i="11" l="1"/>
  <c r="D30" i="11"/>
  <c r="D31" i="11" s="1"/>
  <c r="D15" i="8"/>
  <c r="E78" i="11"/>
  <c r="F206" i="11"/>
  <c r="F231" i="11"/>
  <c r="F54" i="10" s="1"/>
  <c r="F237" i="11"/>
  <c r="F60" i="10" s="1"/>
  <c r="F239" i="11"/>
  <c r="F62" i="10" s="1"/>
  <c r="F61" i="10"/>
  <c r="E114" i="11"/>
  <c r="F233" i="11"/>
  <c r="F56" i="10" s="1"/>
  <c r="F55" i="10"/>
  <c r="G152" i="11"/>
  <c r="C32" i="3" s="1"/>
  <c r="F129" i="11"/>
  <c r="F202" i="11"/>
  <c r="G55" i="11"/>
  <c r="E41" i="9" s="1"/>
  <c r="G44" i="11"/>
  <c r="C249" i="11"/>
  <c r="C250" i="11" s="1"/>
  <c r="C28" i="3"/>
  <c r="B57" i="11"/>
  <c r="B43" i="8" s="1"/>
  <c r="C211" i="11"/>
  <c r="C212" i="11" s="1"/>
  <c r="C34" i="10" s="1"/>
  <c r="B46" i="11"/>
  <c r="B32" i="8" s="1"/>
  <c r="C120" i="11"/>
  <c r="B211" i="11"/>
  <c r="B33" i="10" s="1"/>
  <c r="D11" i="10"/>
  <c r="D11" i="13"/>
  <c r="G5" i="10"/>
  <c r="E5" i="13"/>
  <c r="D55" i="11"/>
  <c r="D41" i="9" s="1"/>
  <c r="B31" i="11"/>
  <c r="B17" i="8" s="1"/>
  <c r="B16" i="8"/>
  <c r="C73" i="11"/>
  <c r="C59" i="8" s="1"/>
  <c r="C58" i="8"/>
  <c r="B117" i="11"/>
  <c r="D152" i="11"/>
  <c r="D181" i="11" s="1"/>
  <c r="B66" i="3" s="1"/>
  <c r="C46" i="11"/>
  <c r="C32" i="8" s="1"/>
  <c r="D30" i="9"/>
  <c r="B31" i="3"/>
  <c r="C160" i="11"/>
  <c r="C99" i="9"/>
  <c r="C17" i="8"/>
  <c r="C16" i="8"/>
  <c r="C57" i="11"/>
  <c r="C43" i="8" s="1"/>
  <c r="C26" i="8"/>
  <c r="B160" i="11"/>
  <c r="B99" i="9"/>
  <c r="B126" i="11"/>
  <c r="B12" i="12"/>
  <c r="B28" i="3"/>
  <c r="C126" i="11"/>
  <c r="C12" i="12"/>
  <c r="C117" i="11"/>
  <c r="B44" i="11"/>
  <c r="B152" i="11"/>
  <c r="B55" i="11"/>
  <c r="B41" i="8" s="1"/>
  <c r="C44" i="11"/>
  <c r="C152" i="11"/>
  <c r="C55" i="11"/>
  <c r="D126" i="11"/>
  <c r="B4" i="3" s="1"/>
  <c r="D12" i="12"/>
  <c r="B249" i="11"/>
  <c r="B250" i="11" s="1"/>
  <c r="B68" i="11"/>
  <c r="B54" i="8" s="1"/>
  <c r="B72" i="11"/>
  <c r="C69" i="11"/>
  <c r="C55" i="8" s="1"/>
  <c r="C81" i="11"/>
  <c r="G249" i="11"/>
  <c r="G250" i="11" s="1"/>
  <c r="E71" i="12"/>
  <c r="G70" i="10"/>
  <c r="D249" i="11"/>
  <c r="D250" i="11" s="1"/>
  <c r="D71" i="12"/>
  <c r="D70" i="10"/>
  <c r="G4" i="10"/>
  <c r="E5" i="12"/>
  <c r="D4" i="10"/>
  <c r="D5" i="12"/>
  <c r="E66" i="9"/>
  <c r="D66" i="9"/>
  <c r="E110" i="9"/>
  <c r="G119" i="11"/>
  <c r="E64" i="9"/>
  <c r="D99" i="9"/>
  <c r="E99" i="9"/>
  <c r="G72" i="11"/>
  <c r="G58" i="8" s="1"/>
  <c r="E54" i="9"/>
  <c r="D144" i="11"/>
  <c r="B22" i="3" s="1"/>
  <c r="D68" i="11"/>
  <c r="D69" i="11" s="1"/>
  <c r="D160" i="11"/>
  <c r="B39" i="3" s="1"/>
  <c r="G144" i="11"/>
  <c r="G30" i="11"/>
  <c r="E16" i="9" s="1"/>
  <c r="G69" i="11"/>
  <c r="E55" i="9" s="1"/>
  <c r="E15" i="9"/>
  <c r="G81" i="11"/>
  <c r="D169" i="11"/>
  <c r="B56" i="3" s="1"/>
  <c r="B67" i="3"/>
  <c r="D16" i="9"/>
  <c r="G211" i="11"/>
  <c r="D12" i="9"/>
  <c r="D15" i="9"/>
  <c r="G160" i="11"/>
  <c r="C39" i="3" s="1"/>
  <c r="C37" i="3"/>
  <c r="G182" i="11"/>
  <c r="G30" i="8"/>
  <c r="E30" i="9"/>
  <c r="D58" i="8"/>
  <c r="D58" i="9"/>
  <c r="G46" i="11"/>
  <c r="E32" i="9" s="1"/>
  <c r="G57" i="11"/>
  <c r="G26" i="8"/>
  <c r="D211" i="11"/>
  <c r="D34" i="12" s="1"/>
  <c r="D57" i="11"/>
  <c r="D46" i="11"/>
  <c r="D32" i="9" s="1"/>
  <c r="D26" i="8"/>
  <c r="D73" i="11"/>
  <c r="B212" i="11" l="1"/>
  <c r="B34" i="10" s="1"/>
  <c r="G168" i="11"/>
  <c r="C55" i="3" s="1"/>
  <c r="G181" i="11"/>
  <c r="H181" i="11" s="1"/>
  <c r="F213" i="11"/>
  <c r="F28" i="10"/>
  <c r="G41" i="8"/>
  <c r="F236" i="11"/>
  <c r="F230" i="11"/>
  <c r="E113" i="11"/>
  <c r="E85" i="11"/>
  <c r="E89" i="11" s="1"/>
  <c r="E91" i="11"/>
  <c r="E90" i="11" s="1"/>
  <c r="E70" i="11" s="1"/>
  <c r="E74" i="11" s="1"/>
  <c r="E134" i="11" s="1"/>
  <c r="E135" i="11" s="1"/>
  <c r="E138" i="11" s="1"/>
  <c r="E166" i="11" s="1"/>
  <c r="G60" i="11"/>
  <c r="E46" i="9" s="1"/>
  <c r="F218" i="11"/>
  <c r="F130" i="11"/>
  <c r="F176" i="11"/>
  <c r="F183" i="11" s="1"/>
  <c r="F165" i="11"/>
  <c r="F170" i="11" s="1"/>
  <c r="B32" i="3"/>
  <c r="C33" i="10"/>
  <c r="C66" i="3"/>
  <c r="D41" i="8"/>
  <c r="D168" i="11"/>
  <c r="B55" i="3" s="1"/>
  <c r="B60" i="11"/>
  <c r="B46" i="8" s="1"/>
  <c r="G84" i="11"/>
  <c r="E70" i="9" s="1"/>
  <c r="G91" i="11"/>
  <c r="G90" i="11" s="1"/>
  <c r="C49" i="11"/>
  <c r="C30" i="8"/>
  <c r="C60" i="11"/>
  <c r="C41" i="8"/>
  <c r="C91" i="11"/>
  <c r="C77" i="9" s="1"/>
  <c r="C67" i="9"/>
  <c r="B49" i="11"/>
  <c r="B30" i="8"/>
  <c r="B73" i="11"/>
  <c r="B59" i="8" s="1"/>
  <c r="B58" i="8"/>
  <c r="B81" i="11"/>
  <c r="B69" i="11"/>
  <c r="B55" i="8" s="1"/>
  <c r="C85" i="11"/>
  <c r="C82" i="11"/>
  <c r="C68" i="9" s="1"/>
  <c r="C84" i="11"/>
  <c r="C70" i="9" s="1"/>
  <c r="C83" i="11"/>
  <c r="C69" i="9" s="1"/>
  <c r="G212" i="11"/>
  <c r="E35" i="12" s="1"/>
  <c r="E34" i="12"/>
  <c r="D75" i="12"/>
  <c r="D74" i="10"/>
  <c r="D73" i="12"/>
  <c r="D72" i="10"/>
  <c r="D73" i="10"/>
  <c r="D74" i="12"/>
  <c r="G73" i="10"/>
  <c r="E74" i="12"/>
  <c r="E73" i="12"/>
  <c r="G72" i="10"/>
  <c r="E67" i="9"/>
  <c r="G83" i="11"/>
  <c r="E69" i="9" s="1"/>
  <c r="G85" i="11"/>
  <c r="G89" i="11" s="1"/>
  <c r="E75" i="9" s="1"/>
  <c r="G117" i="11"/>
  <c r="G120" i="11"/>
  <c r="G16" i="8"/>
  <c r="G31" i="11"/>
  <c r="E17" i="9" s="1"/>
  <c r="G55" i="8"/>
  <c r="G73" i="11"/>
  <c r="G59" i="8" s="1"/>
  <c r="D54" i="9"/>
  <c r="D81" i="11"/>
  <c r="D54" i="8"/>
  <c r="E58" i="9"/>
  <c r="D167" i="11"/>
  <c r="B54" i="3" s="1"/>
  <c r="C22" i="3"/>
  <c r="G180" i="11"/>
  <c r="H180" i="11" s="1"/>
  <c r="G167" i="11"/>
  <c r="C54" i="3" s="1"/>
  <c r="G82" i="11"/>
  <c r="D180" i="11"/>
  <c r="B65" i="3" s="1"/>
  <c r="D16" i="8"/>
  <c r="G33" i="10"/>
  <c r="D17" i="9"/>
  <c r="D212" i="11"/>
  <c r="D35" i="12" s="1"/>
  <c r="D33" i="10"/>
  <c r="G169" i="11"/>
  <c r="C56" i="3" s="1"/>
  <c r="C67" i="3"/>
  <c r="D59" i="8"/>
  <c r="D59" i="9"/>
  <c r="D55" i="8"/>
  <c r="D55" i="9"/>
  <c r="G43" i="8"/>
  <c r="E43" i="9"/>
  <c r="D43" i="8"/>
  <c r="D43" i="9"/>
  <c r="G32" i="8"/>
  <c r="G49" i="11"/>
  <c r="E35" i="9" s="1"/>
  <c r="D60" i="11"/>
  <c r="D46" i="9" s="1"/>
  <c r="D49" i="11"/>
  <c r="D35" i="9" s="1"/>
  <c r="D32" i="8"/>
  <c r="R248" i="6"/>
  <c r="R244" i="6"/>
  <c r="T244" i="6" s="1"/>
  <c r="R242" i="6"/>
  <c r="M244" i="6"/>
  <c r="O244" i="6" s="1"/>
  <c r="M242" i="6"/>
  <c r="H250" i="6"/>
  <c r="H252" i="6" s="1"/>
  <c r="H249" i="6"/>
  <c r="Q234" i="6"/>
  <c r="N234" i="6"/>
  <c r="Q230" i="6"/>
  <c r="R229" i="6"/>
  <c r="Q229" i="6"/>
  <c r="Q232" i="6" s="1"/>
  <c r="Q233" i="6" s="1"/>
  <c r="O229" i="6"/>
  <c r="N229" i="6"/>
  <c r="N232" i="6" s="1"/>
  <c r="N233" i="6" s="1"/>
  <c r="R222" i="6"/>
  <c r="Q221" i="6"/>
  <c r="Q222" i="6" s="1"/>
  <c r="P222" i="6" s="1"/>
  <c r="N220" i="6"/>
  <c r="Q219" i="6"/>
  <c r="R219" i="6" s="1"/>
  <c r="K216" i="6"/>
  <c r="H216" i="6"/>
  <c r="K195" i="6"/>
  <c r="H195" i="6"/>
  <c r="H192" i="6"/>
  <c r="K182" i="6"/>
  <c r="H182" i="6"/>
  <c r="K142" i="6"/>
  <c r="H142" i="6"/>
  <c r="H218" i="6" s="1"/>
  <c r="N218" i="6" s="1"/>
  <c r="K25" i="6"/>
  <c r="H25" i="6"/>
  <c r="K11" i="6"/>
  <c r="H11" i="6"/>
  <c r="F219" i="11" l="1"/>
  <c r="F41" i="10" s="1"/>
  <c r="F40" i="10"/>
  <c r="F224" i="11"/>
  <c r="E201" i="11"/>
  <c r="E92" i="11"/>
  <c r="E193" i="11" s="1"/>
  <c r="E195" i="11" s="1"/>
  <c r="E116" i="11"/>
  <c r="E119" i="11"/>
  <c r="E120" i="11" s="1"/>
  <c r="E238" i="11" s="1"/>
  <c r="F240" i="11"/>
  <c r="F59" i="10"/>
  <c r="G46" i="8"/>
  <c r="F53" i="10"/>
  <c r="F234" i="11"/>
  <c r="B62" i="11"/>
  <c r="B48" i="8" s="1"/>
  <c r="G62" i="11"/>
  <c r="F214" i="11"/>
  <c r="F36" i="10" s="1"/>
  <c r="F35" i="10"/>
  <c r="C65" i="3"/>
  <c r="C90" i="11"/>
  <c r="C70" i="11" s="1"/>
  <c r="B51" i="11"/>
  <c r="B35" i="8"/>
  <c r="B67" i="9"/>
  <c r="B91" i="11"/>
  <c r="B77" i="9" s="1"/>
  <c r="C89" i="11"/>
  <c r="C75" i="9" s="1"/>
  <c r="C71" i="9"/>
  <c r="C62" i="11"/>
  <c r="C48" i="8" s="1"/>
  <c r="C46" i="8"/>
  <c r="C51" i="11"/>
  <c r="C35" i="8"/>
  <c r="D91" i="11"/>
  <c r="D84" i="11"/>
  <c r="D70" i="9" s="1"/>
  <c r="B85" i="11"/>
  <c r="B82" i="11"/>
  <c r="B68" i="9" s="1"/>
  <c r="B84" i="11"/>
  <c r="B70" i="9" s="1"/>
  <c r="B83" i="11"/>
  <c r="B69" i="9" s="1"/>
  <c r="E75" i="12"/>
  <c r="G74" i="10"/>
  <c r="G34" i="10"/>
  <c r="G133" i="11"/>
  <c r="C11" i="3" s="1"/>
  <c r="E68" i="9"/>
  <c r="D67" i="9"/>
  <c r="D83" i="11"/>
  <c r="D69" i="9" s="1"/>
  <c r="D85" i="11"/>
  <c r="D34" i="10"/>
  <c r="G17" i="8"/>
  <c r="D17" i="8"/>
  <c r="E77" i="9"/>
  <c r="E59" i="9"/>
  <c r="G201" i="11"/>
  <c r="E14" i="13" s="1"/>
  <c r="G92" i="11"/>
  <c r="G193" i="11" s="1"/>
  <c r="D82" i="11"/>
  <c r="D68" i="9" s="1"/>
  <c r="E71" i="9"/>
  <c r="G48" i="8"/>
  <c r="E48" i="9"/>
  <c r="G70" i="11"/>
  <c r="E76" i="9"/>
  <c r="D62" i="11"/>
  <c r="D46" i="8"/>
  <c r="D51" i="11"/>
  <c r="D35" i="8"/>
  <c r="G51" i="11"/>
  <c r="G232" i="11" s="1"/>
  <c r="G35" i="8"/>
  <c r="H217" i="6"/>
  <c r="K219" i="6"/>
  <c r="N222" i="6"/>
  <c r="O242" i="6"/>
  <c r="O246" i="6" s="1"/>
  <c r="O250" i="6" s="1"/>
  <c r="M246" i="6"/>
  <c r="M248" i="6" s="1"/>
  <c r="E117" i="11" l="1"/>
  <c r="E232" i="11" s="1"/>
  <c r="F235" i="11"/>
  <c r="F57" i="10"/>
  <c r="F241" i="11"/>
  <c r="F64" i="10" s="1"/>
  <c r="F63" i="10"/>
  <c r="E61" i="10"/>
  <c r="E206" i="11"/>
  <c r="E231" i="11"/>
  <c r="E54" i="10" s="1"/>
  <c r="E237" i="11"/>
  <c r="E60" i="10" s="1"/>
  <c r="E129" i="11"/>
  <c r="E202" i="11"/>
  <c r="F228" i="11"/>
  <c r="F46" i="10"/>
  <c r="C201" i="11"/>
  <c r="C15" i="12" s="1"/>
  <c r="C92" i="11"/>
  <c r="C78" i="9" s="1"/>
  <c r="B90" i="11"/>
  <c r="B70" i="11" s="1"/>
  <c r="C76" i="9"/>
  <c r="E7" i="12"/>
  <c r="E6" i="13"/>
  <c r="B89" i="11"/>
  <c r="B75" i="9" s="1"/>
  <c r="B71" i="9"/>
  <c r="C37" i="8"/>
  <c r="C238" i="11"/>
  <c r="C61" i="10" s="1"/>
  <c r="C232" i="11"/>
  <c r="C55" i="10" s="1"/>
  <c r="B37" i="8"/>
  <c r="B232" i="11"/>
  <c r="B55" i="10" s="1"/>
  <c r="B238" i="11"/>
  <c r="B61" i="10" s="1"/>
  <c r="C74" i="11"/>
  <c r="C60" i="8" s="1"/>
  <c r="C56" i="8"/>
  <c r="G55" i="10"/>
  <c r="E56" i="12"/>
  <c r="G14" i="10"/>
  <c r="E15" i="12"/>
  <c r="D133" i="11"/>
  <c r="B11" i="3" s="1"/>
  <c r="G238" i="11"/>
  <c r="G129" i="11"/>
  <c r="C7" i="3" s="1"/>
  <c r="G202" i="11"/>
  <c r="E78" i="9"/>
  <c r="G195" i="11"/>
  <c r="G6" i="10"/>
  <c r="E56" i="9"/>
  <c r="G74" i="11"/>
  <c r="G56" i="8"/>
  <c r="D48" i="8"/>
  <c r="D48" i="9"/>
  <c r="G37" i="8"/>
  <c r="E37" i="9"/>
  <c r="D37" i="8"/>
  <c r="D37" i="9"/>
  <c r="R246" i="6"/>
  <c r="T242" i="6"/>
  <c r="T246" i="6" s="1"/>
  <c r="E230" i="11" l="1"/>
  <c r="E236" i="11"/>
  <c r="E130" i="11"/>
  <c r="E218" i="11"/>
  <c r="E176" i="11"/>
  <c r="E165" i="11"/>
  <c r="E170" i="11" s="1"/>
  <c r="E28" i="10"/>
  <c r="E213" i="11"/>
  <c r="E35" i="10" s="1"/>
  <c r="E239" i="11"/>
  <c r="E62" i="10" s="1"/>
  <c r="C193" i="11"/>
  <c r="C195" i="11" s="1"/>
  <c r="F242" i="11"/>
  <c r="F65" i="10" s="1"/>
  <c r="F245" i="11"/>
  <c r="F58" i="10"/>
  <c r="F84" i="10"/>
  <c r="F51" i="10"/>
  <c r="F246" i="11"/>
  <c r="E233" i="11"/>
  <c r="E56" i="10" s="1"/>
  <c r="E55" i="10"/>
  <c r="B201" i="11"/>
  <c r="B15" i="12" s="1"/>
  <c r="C202" i="11"/>
  <c r="C16" i="12" s="1"/>
  <c r="B76" i="9"/>
  <c r="C129" i="11"/>
  <c r="E9" i="12"/>
  <c r="E8" i="13"/>
  <c r="E16" i="12"/>
  <c r="E15" i="13"/>
  <c r="B92" i="11"/>
  <c r="B74" i="11"/>
  <c r="B60" i="8" s="1"/>
  <c r="B56" i="8"/>
  <c r="G61" i="10"/>
  <c r="E62" i="12"/>
  <c r="G218" i="11"/>
  <c r="G236" i="11"/>
  <c r="G230" i="11"/>
  <c r="G176" i="11"/>
  <c r="C63" i="3" s="1"/>
  <c r="G237" i="11"/>
  <c r="E61" i="12" s="1"/>
  <c r="G231" i="11"/>
  <c r="E55" i="12" s="1"/>
  <c r="G15" i="10"/>
  <c r="G130" i="11"/>
  <c r="C8" i="3" s="1"/>
  <c r="G165" i="11"/>
  <c r="C52" i="3" s="1"/>
  <c r="G206" i="11"/>
  <c r="E29" i="12" s="1"/>
  <c r="G8" i="10"/>
  <c r="E60" i="9"/>
  <c r="G134" i="11"/>
  <c r="G60" i="8"/>
  <c r="T250" i="6"/>
  <c r="T253" i="6"/>
  <c r="N234" i="4"/>
  <c r="T244" i="4" s="1"/>
  <c r="Q234" i="4"/>
  <c r="O244" i="4" s="1"/>
  <c r="O246" i="4" s="1"/>
  <c r="O250" i="4" s="1"/>
  <c r="R248" i="4"/>
  <c r="T242" i="4"/>
  <c r="R244" i="4"/>
  <c r="N222" i="4"/>
  <c r="N233" i="4"/>
  <c r="O242" i="4"/>
  <c r="Q233" i="4"/>
  <c r="M248" i="4"/>
  <c r="M244" i="4"/>
  <c r="M246" i="4"/>
  <c r="H250" i="4"/>
  <c r="H249" i="4"/>
  <c r="H252" i="4"/>
  <c r="M242" i="4" s="1"/>
  <c r="R229" i="4"/>
  <c r="Q229" i="4"/>
  <c r="Q232" i="4" s="1"/>
  <c r="O229" i="4"/>
  <c r="N229" i="4" s="1"/>
  <c r="N232" i="4" s="1"/>
  <c r="Q230" i="4"/>
  <c r="P222" i="4"/>
  <c r="R222" i="4"/>
  <c r="Q222" i="4"/>
  <c r="Q221" i="4"/>
  <c r="R219" i="4"/>
  <c r="Q219" i="4"/>
  <c r="N218" i="4"/>
  <c r="N205" i="5"/>
  <c r="N203" i="5"/>
  <c r="J208" i="5"/>
  <c r="I208" i="5"/>
  <c r="I206" i="5"/>
  <c r="I211" i="5"/>
  <c r="N220" i="4"/>
  <c r="I219" i="4"/>
  <c r="H227" i="4"/>
  <c r="H229" i="4" s="1"/>
  <c r="R242" i="4" s="1"/>
  <c r="C130" i="11" l="1"/>
  <c r="C236" i="11"/>
  <c r="C230" i="11"/>
  <c r="F253" i="11"/>
  <c r="F254" i="11"/>
  <c r="C7" i="12"/>
  <c r="E40" i="10"/>
  <c r="E224" i="11"/>
  <c r="E240" i="11"/>
  <c r="E59" i="10"/>
  <c r="E53" i="10"/>
  <c r="E234" i="11"/>
  <c r="C218" i="11"/>
  <c r="C40" i="10" s="1"/>
  <c r="B202" i="11"/>
  <c r="B16" i="12" s="1"/>
  <c r="B129" i="11"/>
  <c r="B193" i="11"/>
  <c r="B78" i="9"/>
  <c r="C53" i="10"/>
  <c r="C59" i="10"/>
  <c r="C9" i="12"/>
  <c r="C206" i="11"/>
  <c r="C237" i="11"/>
  <c r="C231" i="11"/>
  <c r="B236" i="11"/>
  <c r="G53" i="10"/>
  <c r="E54" i="12"/>
  <c r="G59" i="10"/>
  <c r="E60" i="12"/>
  <c r="G219" i="11"/>
  <c r="E42" i="12" s="1"/>
  <c r="E41" i="12"/>
  <c r="G233" i="11"/>
  <c r="E57" i="12" s="1"/>
  <c r="G54" i="10"/>
  <c r="G239" i="11"/>
  <c r="E63" i="12" s="1"/>
  <c r="G60" i="10"/>
  <c r="G40" i="10"/>
  <c r="C12" i="3"/>
  <c r="G135" i="11"/>
  <c r="G213" i="11"/>
  <c r="E36" i="12" s="1"/>
  <c r="G28" i="10"/>
  <c r="G139" i="11"/>
  <c r="C17" i="3" s="1"/>
  <c r="R246" i="4"/>
  <c r="T246" i="4"/>
  <c r="T250" i="4" s="1"/>
  <c r="I18" i="5"/>
  <c r="K18" i="5"/>
  <c r="I35" i="5"/>
  <c r="K35" i="5"/>
  <c r="I143" i="5"/>
  <c r="K143" i="5"/>
  <c r="I177" i="5"/>
  <c r="K177" i="5"/>
  <c r="I193" i="5"/>
  <c r="K193" i="5"/>
  <c r="I197" i="5"/>
  <c r="K197" i="5"/>
  <c r="K216" i="4"/>
  <c r="H216" i="4"/>
  <c r="K195" i="4"/>
  <c r="H195" i="4"/>
  <c r="H192" i="4"/>
  <c r="K182" i="4"/>
  <c r="H182" i="4"/>
  <c r="K142" i="4"/>
  <c r="H142" i="4"/>
  <c r="K25" i="4"/>
  <c r="H25" i="4"/>
  <c r="K11" i="4"/>
  <c r="H11" i="4"/>
  <c r="H217" i="4" s="1"/>
  <c r="D30" i="2"/>
  <c r="C26" i="2"/>
  <c r="B23" i="2"/>
  <c r="B26" i="2" s="1"/>
  <c r="B22" i="2"/>
  <c r="B27" i="2" s="1"/>
  <c r="C22" i="2"/>
  <c r="C27" i="2" s="1"/>
  <c r="C19" i="2"/>
  <c r="C20" i="2" s="1"/>
  <c r="C21" i="2" s="1"/>
  <c r="B19" i="2"/>
  <c r="B21" i="2" s="1"/>
  <c r="C5" i="2"/>
  <c r="B5" i="2"/>
  <c r="C4" i="2"/>
  <c r="C9" i="2" s="1"/>
  <c r="B4" i="2"/>
  <c r="B9" i="2" s="1"/>
  <c r="B3" i="2"/>
  <c r="C3" i="2"/>
  <c r="G82" i="1"/>
  <c r="B89" i="1"/>
  <c r="B88" i="1"/>
  <c r="B86" i="1"/>
  <c r="D86" i="1"/>
  <c r="D85" i="1"/>
  <c r="D84" i="1"/>
  <c r="D83" i="1"/>
  <c r="D75" i="1"/>
  <c r="E79" i="1"/>
  <c r="E75" i="1"/>
  <c r="E77" i="1"/>
  <c r="B80" i="1"/>
  <c r="D77" i="1"/>
  <c r="D71" i="1"/>
  <c r="D72" i="1" s="1"/>
  <c r="D73" i="1" s="1"/>
  <c r="D67" i="1"/>
  <c r="G71" i="1"/>
  <c r="G73" i="1" s="1"/>
  <c r="I14" i="1"/>
  <c r="G14" i="1"/>
  <c r="E69" i="1"/>
  <c r="G69" i="1"/>
  <c r="H69" i="1"/>
  <c r="D69" i="1"/>
  <c r="O12" i="1"/>
  <c r="P12" i="1"/>
  <c r="Q12" i="1"/>
  <c r="R12" i="1"/>
  <c r="N12" i="1"/>
  <c r="E66" i="1"/>
  <c r="F66" i="1"/>
  <c r="G66" i="1"/>
  <c r="H66" i="1"/>
  <c r="D66" i="1"/>
  <c r="M42" i="1"/>
  <c r="L42" i="1"/>
  <c r="N42" i="1" s="1"/>
  <c r="B218" i="11" l="1"/>
  <c r="B230" i="11"/>
  <c r="E235" i="11"/>
  <c r="E57" i="10"/>
  <c r="E241" i="11"/>
  <c r="E64" i="10" s="1"/>
  <c r="E63" i="10"/>
  <c r="B130" i="11"/>
  <c r="E228" i="11"/>
  <c r="E46" i="10"/>
  <c r="F255" i="11"/>
  <c r="F77" i="10" s="1"/>
  <c r="F85" i="10"/>
  <c r="F76" i="10"/>
  <c r="G56" i="10"/>
  <c r="C233" i="11"/>
  <c r="C54" i="10"/>
  <c r="C239" i="11"/>
  <c r="C60" i="10"/>
  <c r="B40" i="10"/>
  <c r="C213" i="11"/>
  <c r="C28" i="10"/>
  <c r="B59" i="10"/>
  <c r="B53" i="10"/>
  <c r="B195" i="11"/>
  <c r="B7" i="12"/>
  <c r="G234" i="11"/>
  <c r="E58" i="12" s="1"/>
  <c r="G41" i="10"/>
  <c r="G240" i="11"/>
  <c r="E64" i="12" s="1"/>
  <c r="G62" i="10"/>
  <c r="G138" i="11"/>
  <c r="C16" i="3" s="1"/>
  <c r="C13" i="3"/>
  <c r="G214" i="11"/>
  <c r="G35" i="10"/>
  <c r="G184" i="11"/>
  <c r="G171" i="11"/>
  <c r="B28" i="2"/>
  <c r="B29" i="2" s="1"/>
  <c r="I202" i="5"/>
  <c r="B20" i="2"/>
  <c r="C28" i="2"/>
  <c r="C29" i="2" s="1"/>
  <c r="C31" i="2" s="1"/>
  <c r="C6" i="2"/>
  <c r="C10" i="2" s="1"/>
  <c r="C12" i="2" s="1"/>
  <c r="B6" i="2"/>
  <c r="B10" i="2" s="1"/>
  <c r="B12" i="2" s="1"/>
  <c r="G74" i="1"/>
  <c r="D74" i="1"/>
  <c r="E37" i="12" l="1"/>
  <c r="G36" i="10"/>
  <c r="E51" i="10"/>
  <c r="E84" i="10"/>
  <c r="E246" i="11"/>
  <c r="E242" i="11"/>
  <c r="E65" i="10" s="1"/>
  <c r="E58" i="10"/>
  <c r="E245" i="11"/>
  <c r="G57" i="10"/>
  <c r="G235" i="11"/>
  <c r="E59" i="12" s="1"/>
  <c r="C35" i="10"/>
  <c r="C224" i="11"/>
  <c r="C62" i="10"/>
  <c r="C240" i="11"/>
  <c r="B9" i="12"/>
  <c r="B237" i="11"/>
  <c r="B231" i="11"/>
  <c r="B206" i="11"/>
  <c r="C56" i="10"/>
  <c r="C234" i="11"/>
  <c r="G63" i="10"/>
  <c r="G241" i="11"/>
  <c r="G265" i="11" s="1"/>
  <c r="G268" i="11" s="1"/>
  <c r="G269" i="11" s="1"/>
  <c r="G270" i="11" s="1"/>
  <c r="G271" i="11" s="1"/>
  <c r="G58" i="10"/>
  <c r="G177" i="11"/>
  <c r="G183" i="11" s="1"/>
  <c r="C68" i="3" s="1"/>
  <c r="G166" i="11"/>
  <c r="G170" i="11" s="1"/>
  <c r="C57" i="3" s="1"/>
  <c r="G224" i="11"/>
  <c r="E47" i="12" s="1"/>
  <c r="G172" i="11"/>
  <c r="C59" i="3" s="1"/>
  <c r="C58" i="3"/>
  <c r="G185" i="11"/>
  <c r="C70" i="3" s="1"/>
  <c r="C69" i="3"/>
  <c r="G13" i="2"/>
  <c r="F16" i="2" s="1"/>
  <c r="C13" i="2"/>
  <c r="D16" i="2" s="1"/>
  <c r="E253" i="11" l="1"/>
  <c r="E254" i="11"/>
  <c r="G245" i="11"/>
  <c r="G254" i="11" s="1"/>
  <c r="H235" i="11"/>
  <c r="C235" i="11"/>
  <c r="C57" i="10"/>
  <c r="B213" i="11"/>
  <c r="B28" i="10"/>
  <c r="B233" i="11"/>
  <c r="B54" i="10"/>
  <c r="B239" i="11"/>
  <c r="B60" i="10"/>
  <c r="C241" i="11"/>
  <c r="C64" i="10" s="1"/>
  <c r="C63" i="10"/>
  <c r="C228" i="11"/>
  <c r="C46" i="10"/>
  <c r="G64" i="10"/>
  <c r="E65" i="12"/>
  <c r="G46" i="10"/>
  <c r="G228" i="11"/>
  <c r="H228" i="11" s="1"/>
  <c r="C64" i="3"/>
  <c r="C53" i="3"/>
  <c r="F13" i="2"/>
  <c r="C15" i="2"/>
  <c r="G16" i="2"/>
  <c r="E255" i="11" l="1"/>
  <c r="E76" i="10"/>
  <c r="E85" i="10"/>
  <c r="G68" i="10"/>
  <c r="G253" i="11"/>
  <c r="E69" i="12"/>
  <c r="G76" i="10"/>
  <c r="C51" i="10"/>
  <c r="C242" i="11"/>
  <c r="C65" i="10" s="1"/>
  <c r="C262" i="11"/>
  <c r="C84" i="10" s="1"/>
  <c r="C246" i="11"/>
  <c r="B62" i="10"/>
  <c r="B240" i="11"/>
  <c r="B56" i="10"/>
  <c r="B234" i="11"/>
  <c r="B35" i="10"/>
  <c r="B224" i="11"/>
  <c r="C245" i="11"/>
  <c r="C58" i="10"/>
  <c r="G246" i="11"/>
  <c r="E52" i="12"/>
  <c r="G51" i="10"/>
  <c r="G242" i="11"/>
  <c r="D113" i="11"/>
  <c r="D71" i="9"/>
  <c r="D77" i="9"/>
  <c r="D90" i="11"/>
  <c r="D64" i="9"/>
  <c r="E77" i="10" l="1"/>
  <c r="F257" i="11"/>
  <c r="E76" i="12"/>
  <c r="H246" i="11"/>
  <c r="C253" i="11"/>
  <c r="C76" i="10" s="1"/>
  <c r="C254" i="11"/>
  <c r="B228" i="11"/>
  <c r="B46" i="10"/>
  <c r="B235" i="11"/>
  <c r="B57" i="10"/>
  <c r="B241" i="11"/>
  <c r="B64" i="10" s="1"/>
  <c r="B63" i="10"/>
  <c r="G65" i="10"/>
  <c r="E66" i="12"/>
  <c r="G84" i="10"/>
  <c r="E82" i="12"/>
  <c r="G69" i="10"/>
  <c r="E70" i="12"/>
  <c r="G255" i="11"/>
  <c r="H255" i="11" s="1"/>
  <c r="H253" i="11" s="1"/>
  <c r="H177" i="11" s="1"/>
  <c r="E83" i="12"/>
  <c r="G85" i="10"/>
  <c r="D110" i="9"/>
  <c r="D116" i="11"/>
  <c r="D119" i="11"/>
  <c r="D89" i="11"/>
  <c r="D92" i="11" s="1"/>
  <c r="D70" i="11"/>
  <c r="D76" i="9"/>
  <c r="F79" i="10" l="1"/>
  <c r="F258" i="11"/>
  <c r="F80" i="10" s="1"/>
  <c r="C255" i="11"/>
  <c r="C77" i="10" s="1"/>
  <c r="H179" i="11"/>
  <c r="H178" i="11"/>
  <c r="B245" i="11"/>
  <c r="B58" i="10"/>
  <c r="B51" i="10"/>
  <c r="B242" i="11"/>
  <c r="B65" i="10" s="1"/>
  <c r="B246" i="11"/>
  <c r="B262" i="11"/>
  <c r="B84" i="10" s="1"/>
  <c r="E77" i="12"/>
  <c r="G77" i="10"/>
  <c r="D120" i="11"/>
  <c r="D238" i="11" s="1"/>
  <c r="D117" i="11"/>
  <c r="D232" i="11" s="1"/>
  <c r="D201" i="11"/>
  <c r="D14" i="13" s="1"/>
  <c r="D75" i="9"/>
  <c r="D193" i="11"/>
  <c r="D78" i="9"/>
  <c r="D56" i="8"/>
  <c r="D56" i="9"/>
  <c r="D74" i="11"/>
  <c r="H182" i="11" l="1"/>
  <c r="B253" i="11"/>
  <c r="B76" i="10" s="1"/>
  <c r="B254" i="11"/>
  <c r="B255" i="11"/>
  <c r="B77" i="10" s="1"/>
  <c r="D7" i="12"/>
  <c r="D6" i="13"/>
  <c r="D14" i="10"/>
  <c r="D15" i="12"/>
  <c r="D55" i="10"/>
  <c r="D56" i="12"/>
  <c r="D61" i="10"/>
  <c r="D62" i="12"/>
  <c r="D202" i="11"/>
  <c r="D129" i="11"/>
  <c r="B7" i="3" s="1"/>
  <c r="D195" i="11"/>
  <c r="D6" i="10"/>
  <c r="D60" i="8"/>
  <c r="D60" i="9"/>
  <c r="D134" i="11"/>
  <c r="D135" i="11" s="1"/>
  <c r="D16" i="12" l="1"/>
  <c r="D15" i="13"/>
  <c r="D9" i="12"/>
  <c r="D8" i="13"/>
  <c r="D218" i="11"/>
  <c r="D236" i="11"/>
  <c r="D230" i="11"/>
  <c r="D15" i="10"/>
  <c r="D176" i="11"/>
  <c r="B63" i="3" s="1"/>
  <c r="D130" i="11"/>
  <c r="B8" i="3" s="1"/>
  <c r="D165" i="11"/>
  <c r="B52" i="3" s="1"/>
  <c r="D237" i="11"/>
  <c r="D61" i="12" s="1"/>
  <c r="D231" i="11"/>
  <c r="D55" i="12" s="1"/>
  <c r="B12" i="3"/>
  <c r="D206" i="11"/>
  <c r="D29" i="12" s="1"/>
  <c r="D8" i="10"/>
  <c r="D40" i="10" l="1"/>
  <c r="D41" i="12"/>
  <c r="D53" i="10"/>
  <c r="D54" i="12"/>
  <c r="D59" i="10"/>
  <c r="D60" i="12"/>
  <c r="D233" i="11"/>
  <c r="D54" i="10"/>
  <c r="D239" i="11"/>
  <c r="D63" i="12" s="1"/>
  <c r="D60" i="10"/>
  <c r="D240" i="11"/>
  <c r="D64" i="12" s="1"/>
  <c r="D62" i="10"/>
  <c r="D213" i="11"/>
  <c r="D36" i="12" s="1"/>
  <c r="D28" i="10"/>
  <c r="D138" i="11"/>
  <c r="E177" i="11" s="1"/>
  <c r="E183" i="11" s="1"/>
  <c r="B13" i="3"/>
  <c r="D56" i="10" l="1"/>
  <c r="D57" i="12"/>
  <c r="D234" i="11"/>
  <c r="D58" i="12" s="1"/>
  <c r="D241" i="11"/>
  <c r="D65" i="12" s="1"/>
  <c r="D63" i="10"/>
  <c r="D177" i="11"/>
  <c r="B16" i="3"/>
  <c r="D166" i="11"/>
  <c r="D35" i="10"/>
  <c r="D224" i="11"/>
  <c r="D47" i="12" s="1"/>
  <c r="D57" i="10" l="1"/>
  <c r="D235" i="11"/>
  <c r="D59" i="12" s="1"/>
  <c r="D64" i="10"/>
  <c r="B53" i="3"/>
  <c r="D170" i="11"/>
  <c r="B57" i="3" s="1"/>
  <c r="B64" i="3"/>
  <c r="D183" i="11"/>
  <c r="B68" i="3" s="1"/>
  <c r="D228" i="11"/>
  <c r="D46" i="10"/>
  <c r="D245" i="11" l="1"/>
  <c r="D58" i="10"/>
  <c r="D52" i="12"/>
  <c r="D262" i="11"/>
  <c r="D51" i="10"/>
  <c r="D246" i="11"/>
  <c r="D242" i="11"/>
  <c r="D69" i="12" l="1"/>
  <c r="D254" i="11"/>
  <c r="D253" i="11"/>
  <c r="D76" i="12" s="1"/>
  <c r="D68" i="10"/>
  <c r="D65" i="10"/>
  <c r="D66" i="12"/>
  <c r="D69" i="10"/>
  <c r="D70" i="12"/>
  <c r="D84" i="10"/>
  <c r="D82" i="12"/>
  <c r="D76" i="10" l="1"/>
  <c r="D255" i="11"/>
  <c r="D77" i="12" s="1"/>
  <c r="D7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Radek Lapáček</author>
  </authors>
  <commentList>
    <comment ref="F25" authorId="0" shapeId="0" xr:uid="{91F3A3CD-7970-4CF2-82CE-6A5B3FB77D6B}">
      <text>
        <r>
          <rPr>
            <b/>
            <sz val="9"/>
            <color indexed="81"/>
            <rFont val="Tahoma"/>
            <family val="2"/>
            <charset val="238"/>
          </rPr>
          <t>Ing. Radek Lapáček:</t>
        </r>
        <r>
          <rPr>
            <sz val="9"/>
            <color indexed="81"/>
            <rFont val="Tahoma"/>
            <family val="2"/>
            <charset val="238"/>
          </rPr>
          <t xml:space="preserve">
Mzdová položka třetího auta přenesena do režie 585.906,- Kč + 530.535,- Kč.</t>
        </r>
      </text>
    </comment>
    <comment ref="E207" authorId="0" shapeId="0" xr:uid="{E7A72AAA-1786-449E-8626-A742A5EE3EFE}">
      <text>
        <r>
          <rPr>
            <b/>
            <sz val="9"/>
            <color indexed="81"/>
            <rFont val="Tahoma"/>
            <family val="2"/>
            <charset val="238"/>
          </rPr>
          <t>Ing. Radek Lapáček:</t>
        </r>
        <r>
          <rPr>
            <sz val="9"/>
            <color indexed="81"/>
            <rFont val="Tahoma"/>
            <family val="2"/>
            <charset val="238"/>
          </rPr>
          <t xml:space="preserve">
vybráno za město a občany Humpolec
</t>
        </r>
      </text>
    </comment>
  </commentList>
</comments>
</file>

<file path=xl/sharedStrings.xml><?xml version="1.0" encoding="utf-8"?>
<sst xmlns="http://schemas.openxmlformats.org/spreadsheetml/2006/main" count="4923" uniqueCount="478">
  <si>
    <t>ucet</t>
  </si>
  <si>
    <t>naz_uctu</t>
  </si>
  <si>
    <t>stredisko</t>
  </si>
  <si>
    <t>naz_stred</t>
  </si>
  <si>
    <t>poc_rok</t>
  </si>
  <si>
    <t>poc_mes</t>
  </si>
  <si>
    <t>pohyb_md</t>
  </si>
  <si>
    <t>pohyb_dal</t>
  </si>
  <si>
    <t>kon_zust</t>
  </si>
  <si>
    <t>Vnitropod.náklady</t>
  </si>
  <si>
    <t>6J5 6202</t>
  </si>
  <si>
    <t>6J5 7282</t>
  </si>
  <si>
    <t>7J05690</t>
  </si>
  <si>
    <t>2J4 3520</t>
  </si>
  <si>
    <t>4J16259</t>
  </si>
  <si>
    <t>5J1 5610</t>
  </si>
  <si>
    <t>5J7 6031</t>
  </si>
  <si>
    <t>6J4 8180</t>
  </si>
  <si>
    <t>2SN 0483 zapůjčené v</t>
  </si>
  <si>
    <t>6J19959</t>
  </si>
  <si>
    <t>6J19956</t>
  </si>
  <si>
    <t>STR</t>
  </si>
  <si>
    <t>STR_NAZEV</t>
  </si>
  <si>
    <t>VYNOS</t>
  </si>
  <si>
    <t>NAKLAD</t>
  </si>
  <si>
    <t>POHYB</t>
  </si>
  <si>
    <t>SVYNOS</t>
  </si>
  <si>
    <t>SNAKLAD</t>
  </si>
  <si>
    <t>SPOHYB</t>
  </si>
  <si>
    <t xml:space="preserve">Režie Hrádek                  </t>
  </si>
  <si>
    <t xml:space="preserve">Dílna                         </t>
  </si>
  <si>
    <t xml:space="preserve">Rezie Pelhřimov               </t>
  </si>
  <si>
    <t xml:space="preserve">D2D                           </t>
  </si>
  <si>
    <t xml:space="preserve">DSO SOMPO                     </t>
  </si>
  <si>
    <t xml:space="preserve">Oktávia                       </t>
  </si>
  <si>
    <t xml:space="preserve">Oktávia AMBITION              </t>
  </si>
  <si>
    <t xml:space="preserve">Peugeot                       </t>
  </si>
  <si>
    <t xml:space="preserve">Jeep Cherokee                 </t>
  </si>
  <si>
    <t>TR</t>
  </si>
  <si>
    <t>SYN</t>
  </si>
  <si>
    <t>UCET</t>
  </si>
  <si>
    <t>AU_NAZEV</t>
  </si>
  <si>
    <t xml:space="preserve">Zákl. materiál, náhr.díly     </t>
  </si>
  <si>
    <t xml:space="preserve">Spotreba PHM                  </t>
  </si>
  <si>
    <t xml:space="preserve">Spotreba ost. materiálu       </t>
  </si>
  <si>
    <t xml:space="preserve">Opravy,revize,servis,údrž     </t>
  </si>
  <si>
    <t xml:space="preserve">Cestovne 119/92 Sb.           </t>
  </si>
  <si>
    <t xml:space="preserve">Výkony spojů-telef.provoz     </t>
  </si>
  <si>
    <t xml:space="preserve">Služby na nehm. majetku       </t>
  </si>
  <si>
    <t xml:space="preserve">Výměna pneu,... u aut         </t>
  </si>
  <si>
    <t xml:space="preserve">Mzdove naklady                </t>
  </si>
  <si>
    <t xml:space="preserve">Náhrada za nemoc              </t>
  </si>
  <si>
    <t xml:space="preserve">Zákonné poj.-soc. a zdrav     </t>
  </si>
  <si>
    <t xml:space="preserve">Zák.soc.nákl.-ZS,PF,lék.p     </t>
  </si>
  <si>
    <t xml:space="preserve">Ostatní - poplatky R, Tv.     </t>
  </si>
  <si>
    <t xml:space="preserve">Ostat.provoz.naklady          </t>
  </si>
  <si>
    <t xml:space="preserve">Odpis DLHDBNaHM               </t>
  </si>
  <si>
    <t xml:space="preserve">Vnitropod.náklady             </t>
  </si>
  <si>
    <t xml:space="preserve">                              </t>
  </si>
  <si>
    <t xml:space="preserve">Svoz TKO - Humpolec           </t>
  </si>
  <si>
    <t xml:space="preserve">Svoz TKO - Pacov              </t>
  </si>
  <si>
    <t xml:space="preserve">Svoz TKO - Sompo              </t>
  </si>
  <si>
    <t xml:space="preserve">Nebezpecny odpad              </t>
  </si>
  <si>
    <t xml:space="preserve">Separace - papír              </t>
  </si>
  <si>
    <t xml:space="preserve">Separace - plasty             </t>
  </si>
  <si>
    <t xml:space="preserve">Separace - sklo               </t>
  </si>
  <si>
    <t xml:space="preserve">Separace - netřidit.          </t>
  </si>
  <si>
    <t xml:space="preserve">Separace - dřevo              </t>
  </si>
  <si>
    <t xml:space="preserve">Třídírna                      </t>
  </si>
  <si>
    <t xml:space="preserve">Drtič TANA                    </t>
  </si>
  <si>
    <t xml:space="preserve">Skladka                       </t>
  </si>
  <si>
    <t xml:space="preserve">Merlo                         </t>
  </si>
  <si>
    <t xml:space="preserve">Prekladiste Humpolec          </t>
  </si>
  <si>
    <t xml:space="preserve">Prekladiste Pocatky           </t>
  </si>
  <si>
    <t xml:space="preserve">BOMAG BC 572 RB               </t>
  </si>
  <si>
    <t xml:space="preserve">Bomag 2                       </t>
  </si>
  <si>
    <t xml:space="preserve">Uložiště zeminy               </t>
  </si>
  <si>
    <t xml:space="preserve">Bioodpad                      </t>
  </si>
  <si>
    <t xml:space="preserve">Doprava                       </t>
  </si>
  <si>
    <t xml:space="preserve">Fotovoltaika                  </t>
  </si>
  <si>
    <t>svoz</t>
  </si>
  <si>
    <t>Překladiště</t>
  </si>
  <si>
    <t>Příjem</t>
  </si>
  <si>
    <t>1. - 9.</t>
  </si>
  <si>
    <t>Režie</t>
  </si>
  <si>
    <t>Náklady na auto</t>
  </si>
  <si>
    <t>Počet aut</t>
  </si>
  <si>
    <t>Zisk</t>
  </si>
  <si>
    <t>Počet vozidel</t>
  </si>
  <si>
    <t>SKO</t>
  </si>
  <si>
    <t>SEP</t>
  </si>
  <si>
    <t>střídač</t>
  </si>
  <si>
    <t>STŘÍDAČ</t>
  </si>
  <si>
    <t>3J0 8373</t>
  </si>
  <si>
    <t>5J7 8260</t>
  </si>
  <si>
    <t>5J4 8730</t>
  </si>
  <si>
    <t>4J1 7225</t>
  </si>
  <si>
    <t>7J0 3833</t>
  </si>
  <si>
    <t/>
  </si>
  <si>
    <t>Náklady celkem</t>
  </si>
  <si>
    <t>Náklady na auto včetně režie</t>
  </si>
  <si>
    <t>PŘEKLADIŠTĚ</t>
  </si>
  <si>
    <t>Výnosy</t>
  </si>
  <si>
    <t>Odpad od ostatních</t>
  </si>
  <si>
    <t>Najeté kilometry</t>
  </si>
  <si>
    <t>Odpad SKO</t>
  </si>
  <si>
    <t>Ceníková cena</t>
  </si>
  <si>
    <t>Náklady odvoz</t>
  </si>
  <si>
    <t>Přepočet výnosy</t>
  </si>
  <si>
    <t>Celkem překladiště Humpolec</t>
  </si>
  <si>
    <t>Zisk 10%</t>
  </si>
  <si>
    <t>Přepočet náklady odvoz</t>
  </si>
  <si>
    <t>1. - 9. 2024</t>
  </si>
  <si>
    <t>SOMPO hradí TS Humpolec</t>
  </si>
  <si>
    <t>SVOZ SKO a BIA</t>
  </si>
  <si>
    <t>Zpracování dodatku ke smlouvě obsluhy překladiště v Humpolci o odpovědnosti za poškození kontejnerů.</t>
  </si>
  <si>
    <t>Kontejnery</t>
  </si>
  <si>
    <t>platí pronájem 2ks</t>
  </si>
  <si>
    <t>IČO.provoz/DN</t>
  </si>
  <si>
    <t>Identifikátor</t>
  </si>
  <si>
    <t>f/o</t>
  </si>
  <si>
    <t>původce</t>
  </si>
  <si>
    <t>odp./slu.</t>
  </si>
  <si>
    <t>název odpadu/služby</t>
  </si>
  <si>
    <t>katalog</t>
  </si>
  <si>
    <t>hmotnost [t]</t>
  </si>
  <si>
    <t>počet nádob</t>
  </si>
  <si>
    <t>kód nádoby</t>
  </si>
  <si>
    <t>cena bez DPH</t>
  </si>
  <si>
    <t>1</t>
  </si>
  <si>
    <t>M</t>
  </si>
  <si>
    <t>Město Humpolec</t>
  </si>
  <si>
    <t>O</t>
  </si>
  <si>
    <t>Pneumatiky</t>
  </si>
  <si>
    <t>160103</t>
  </si>
  <si>
    <t>Sklo</t>
  </si>
  <si>
    <t>160120</t>
  </si>
  <si>
    <t>Stavební materiály obsahující azbest</t>
  </si>
  <si>
    <t>170605</t>
  </si>
  <si>
    <t>Směsné stavební a demoliční odpady neuvedené pod čísly 17 09 01, 17 09 02 a 17 09 03</t>
  </si>
  <si>
    <t>170904</t>
  </si>
  <si>
    <t>Dřevo neuvedené pod číslem 20 01 37</t>
  </si>
  <si>
    <t>200138</t>
  </si>
  <si>
    <t>Směsný komunální odpad</t>
  </si>
  <si>
    <t>200301</t>
  </si>
  <si>
    <t>Uliční smetky</t>
  </si>
  <si>
    <t>200303</t>
  </si>
  <si>
    <t>Objemný odpad</t>
  </si>
  <si>
    <t>200307</t>
  </si>
  <si>
    <t>cena bez poplatku a finanční rezervy</t>
  </si>
  <si>
    <t>Občané města Humpolec - samostatně</t>
  </si>
  <si>
    <t>B</t>
  </si>
  <si>
    <t>Občané obce Humpolec</t>
  </si>
  <si>
    <t>Papírové a lepenkové obaly</t>
  </si>
  <si>
    <t>150101</t>
  </si>
  <si>
    <t>Plastové obaly</t>
  </si>
  <si>
    <t>150102</t>
  </si>
  <si>
    <t>Plasty</t>
  </si>
  <si>
    <t>160119</t>
  </si>
  <si>
    <t>170202</t>
  </si>
  <si>
    <t>Občané z členských obcí SOMPO - samostatně</t>
  </si>
  <si>
    <t>Občané obce Arneštovice</t>
  </si>
  <si>
    <t>Občané obce Bratřice</t>
  </si>
  <si>
    <t>Občané obce Budíkov</t>
  </si>
  <si>
    <t>Občané obce Bystrá</t>
  </si>
  <si>
    <t>Občané obce Čejov</t>
  </si>
  <si>
    <t>Občané obce Červená Řečice</t>
  </si>
  <si>
    <t>Občané obce Dehtáře</t>
  </si>
  <si>
    <t>Občané obce Hojanovice</t>
  </si>
  <si>
    <t>Občané obce Horní Rápotice</t>
  </si>
  <si>
    <t>Občané obce Hořice</t>
  </si>
  <si>
    <t>Občané obce Jiřice</t>
  </si>
  <si>
    <t>Občané obce Kaliště</t>
  </si>
  <si>
    <t>Občané obce Kejžlice</t>
  </si>
  <si>
    <t>Občané obce Koberovice</t>
  </si>
  <si>
    <t>Občané obce Komorovice</t>
  </si>
  <si>
    <t>Občané obce Košetice</t>
  </si>
  <si>
    <t>Občané obce Křelovice</t>
  </si>
  <si>
    <t>Občané obce Lidmaň</t>
  </si>
  <si>
    <t>Občané obce Mladé Bříště</t>
  </si>
  <si>
    <t>Občané obce Mysletín</t>
  </si>
  <si>
    <t>Občané obce Onšov</t>
  </si>
  <si>
    <t>Občané obce Píšť</t>
  </si>
  <si>
    <t>Občané obce Proseč</t>
  </si>
  <si>
    <t>Občané obce Řečice</t>
  </si>
  <si>
    <t>Občané obce Sedlice</t>
  </si>
  <si>
    <t>Občané obce Senožaty</t>
  </si>
  <si>
    <t>Občané obce Staré Bříště</t>
  </si>
  <si>
    <t>Občané obce Velký Rybník</t>
  </si>
  <si>
    <t>Občané obce Vojslavice</t>
  </si>
  <si>
    <t>Občané obce Vystrkov</t>
  </si>
  <si>
    <t>Občané obce Želiv</t>
  </si>
  <si>
    <t>Občané obce Žirov</t>
  </si>
  <si>
    <t>Ostatní občané členské obce SOMPO</t>
  </si>
  <si>
    <t>Občané mimo obce SOMPO - samostatně</t>
  </si>
  <si>
    <t>Občané obce Lipnice nad Sázavou</t>
  </si>
  <si>
    <t>Občané obce Větrný Jeníkov</t>
  </si>
  <si>
    <t>Občané obce Věž</t>
  </si>
  <si>
    <t>Občané obce Studená</t>
  </si>
  <si>
    <t>Občané obce Ústí</t>
  </si>
  <si>
    <t>Občané obce Snět</t>
  </si>
  <si>
    <t>Občané obce Pelhřimov</t>
  </si>
  <si>
    <t>Občané obce Jihlava</t>
  </si>
  <si>
    <t>Občané obce Horní Paseka</t>
  </si>
  <si>
    <t>Občané obce Havlíčkův Brod</t>
  </si>
  <si>
    <t>Občané obce Herálec</t>
  </si>
  <si>
    <t>Občané obce Boňkov</t>
  </si>
  <si>
    <t>Občané obce - mimo obce SOMPO</t>
  </si>
  <si>
    <t>Obec Budíkov</t>
  </si>
  <si>
    <t>Obec Čejov</t>
  </si>
  <si>
    <t>00248363.4</t>
  </si>
  <si>
    <t>Obec Kaliště, m.č. Háj</t>
  </si>
  <si>
    <t>Obec Kejžlice</t>
  </si>
  <si>
    <t>Obec Mladé Bříště</t>
  </si>
  <si>
    <t>Členské obce SOMPO</t>
  </si>
  <si>
    <t>0017968001</t>
  </si>
  <si>
    <t>Obec Boňkov</t>
  </si>
  <si>
    <t>Obce mimo SOMPO</t>
  </si>
  <si>
    <t>Podnikatelské subjekty</t>
  </si>
  <si>
    <t>FIRMA</t>
  </si>
  <si>
    <t>Odpadní plasty (kromě obalů)</t>
  </si>
  <si>
    <t>020104</t>
  </si>
  <si>
    <t>Plastový odpad</t>
  </si>
  <si>
    <t>070213</t>
  </si>
  <si>
    <t>Škvára, struska a kotelní prach (kromě kotelního prachu uvedeného pod číslem 10 01 04)</t>
  </si>
  <si>
    <t>100101</t>
  </si>
  <si>
    <t>Kaly z leštění a broušení skla neuvedené pod číslem 10 11 13</t>
  </si>
  <si>
    <t>101114</t>
  </si>
  <si>
    <t>Plastové hobliny a třísky</t>
  </si>
  <si>
    <t>120105</t>
  </si>
  <si>
    <t>Skleněné obaly</t>
  </si>
  <si>
    <t>150107</t>
  </si>
  <si>
    <t>Absorpční činidla, filtrační materiály, čisticí tkaniny a ochranné oděvy neuvedené pod číslem 15 02 02</t>
  </si>
  <si>
    <t>150203</t>
  </si>
  <si>
    <t>170203</t>
  </si>
  <si>
    <t>200102</t>
  </si>
  <si>
    <t>celkem</t>
  </si>
  <si>
    <t>všechny odpady</t>
  </si>
  <si>
    <t>FIRMY</t>
  </si>
  <si>
    <t>Obec Vystrkov</t>
  </si>
  <si>
    <t>Obec Komorovice</t>
  </si>
  <si>
    <t>N</t>
  </si>
  <si>
    <t>Obec Koberovice</t>
  </si>
  <si>
    <t>200203</t>
  </si>
  <si>
    <t>Jiný biologicky nerozložitelný odpad</t>
  </si>
  <si>
    <t>Obec Kaliště, hřbitov</t>
  </si>
  <si>
    <t>00248363.5</t>
  </si>
  <si>
    <t>Obec Jiřice</t>
  </si>
  <si>
    <t>Občané obce Světlá nad Sázavou</t>
  </si>
  <si>
    <t>Občané obce Sázavka</t>
  </si>
  <si>
    <t>Občané obce Dolní Město</t>
  </si>
  <si>
    <t>Občané obce Věžná</t>
  </si>
  <si>
    <t>Občané obce Salačova Lhota</t>
  </si>
  <si>
    <t>Občané obce Kojčice</t>
  </si>
  <si>
    <t>200139</t>
  </si>
  <si>
    <t>Občané obce Hořepník</t>
  </si>
  <si>
    <t>Občané obce Horní Ves</t>
  </si>
  <si>
    <t>Občané obce Humpolec samostatně</t>
  </si>
  <si>
    <t>Město Humpolec, městský úřad Humpolec</t>
  </si>
  <si>
    <t>00248266.1</t>
  </si>
  <si>
    <t>ktg.</t>
  </si>
  <si>
    <t>Kontejner</t>
  </si>
  <si>
    <t>Sklo barevné</t>
  </si>
  <si>
    <t>Autoskla</t>
  </si>
  <si>
    <t>Dřevo</t>
  </si>
  <si>
    <t>Humpolec</t>
  </si>
  <si>
    <t>Ostatní</t>
  </si>
  <si>
    <t>Papír</t>
  </si>
  <si>
    <t>Objemný odpad - spalovna</t>
  </si>
  <si>
    <t>Náklady</t>
  </si>
  <si>
    <t>Obsluha překladiště</t>
  </si>
  <si>
    <t>Lisovací kontejner včetně hlavice</t>
  </si>
  <si>
    <t>Počty obyvatel celkem</t>
  </si>
  <si>
    <t>Svážených TS Humpolec</t>
  </si>
  <si>
    <t>Kontejnery bez pronájmu</t>
  </si>
  <si>
    <t>Náklady na uložení BIA</t>
  </si>
  <si>
    <t>1.-9.2024</t>
  </si>
  <si>
    <t>Odpad město Humpolec a občané</t>
  </si>
  <si>
    <t>% vyjádření</t>
  </si>
  <si>
    <t>Množství ostatní odpad</t>
  </si>
  <si>
    <t>Náklad na odvoz SKO</t>
  </si>
  <si>
    <t>Poměr Humpolec vs.ostatní</t>
  </si>
  <si>
    <t xml:space="preserve">Lisovací kontejner včetně hlavice </t>
  </si>
  <si>
    <t>Náklad vleky</t>
  </si>
  <si>
    <t>Najeté kilometry kontejnerka</t>
  </si>
  <si>
    <t>Náklady kontejnerka</t>
  </si>
  <si>
    <t>Náklad na km kontejnerka</t>
  </si>
  <si>
    <t>Najeté kilometry vleky</t>
  </si>
  <si>
    <t>Náklad na km vleky</t>
  </si>
  <si>
    <t>Celkem</t>
  </si>
  <si>
    <t>Náklad dopravu vláčky včetně režie</t>
  </si>
  <si>
    <t>Náklady na dopravu ostatního odpadu</t>
  </si>
  <si>
    <t>Odpad ostatní obce</t>
  </si>
  <si>
    <t>Odpad firmy</t>
  </si>
  <si>
    <t>Opravy kontejnerů -odhad</t>
  </si>
  <si>
    <t xml:space="preserve">Výnosy </t>
  </si>
  <si>
    <t>Kontejnery pro svoz 6 M + 2 V</t>
  </si>
  <si>
    <t xml:space="preserve"> </t>
  </si>
  <si>
    <t>LIKVIDACE SKO</t>
  </si>
  <si>
    <t>Skládka</t>
  </si>
  <si>
    <t>Třídírna</t>
  </si>
  <si>
    <t>SUMA</t>
  </si>
  <si>
    <t>Ekokom</t>
  </si>
  <si>
    <t>Svoz</t>
  </si>
  <si>
    <t>Bomag</t>
  </si>
  <si>
    <t>Lis.kontejner</t>
  </si>
  <si>
    <t>Lis.kont</t>
  </si>
  <si>
    <t>Zdarma</t>
  </si>
  <si>
    <t>Náklady separace</t>
  </si>
  <si>
    <t>Drcení</t>
  </si>
  <si>
    <t>Doprava do cementárny</t>
  </si>
  <si>
    <t>Likvidace v cementárně</t>
  </si>
  <si>
    <t>nakládka</t>
  </si>
  <si>
    <t>Náklady včetně režie</t>
  </si>
  <si>
    <t>Náklady Bomag, skládka</t>
  </si>
  <si>
    <t>Navezeno do skládky</t>
  </si>
  <si>
    <t>Na tunu</t>
  </si>
  <si>
    <t>Dovezeno z překladiště mimo SKO</t>
  </si>
  <si>
    <t>Bezplatné</t>
  </si>
  <si>
    <t>Finanční rezerva</t>
  </si>
  <si>
    <t>Celkem náklady za likvidaci</t>
  </si>
  <si>
    <t>z</t>
  </si>
  <si>
    <t>s</t>
  </si>
  <si>
    <t>t</t>
  </si>
  <si>
    <t>náklad</t>
  </si>
  <si>
    <t>Vybráno za odpady z Humpolce</t>
  </si>
  <si>
    <t>Odpady na skládku</t>
  </si>
  <si>
    <t>Odpady zdarma</t>
  </si>
  <si>
    <t>Likvidace odpadů</t>
  </si>
  <si>
    <t>Humpolec - provoz překladiště</t>
  </si>
  <si>
    <t>Doprava ostatního odpadu z překladiště</t>
  </si>
  <si>
    <t>Výpočet procenta režie</t>
  </si>
  <si>
    <t>Výpočet nákladů na km kontejnerového vozidla s vlekem</t>
  </si>
  <si>
    <t>Výpočet nákladů na provoz překladiště pro ostatní odpad</t>
  </si>
  <si>
    <t>Počty rekreačních objektů celkem</t>
  </si>
  <si>
    <t>Výpočet % svážených subjektů na překladiště Humpolec</t>
  </si>
  <si>
    <t>Rozdělení kilometrů pro odvoz odpadů z překladiště</t>
  </si>
  <si>
    <t>Celkový návoz bia</t>
  </si>
  <si>
    <t>Výpočet nákladů na provoz překladiště Humpolec pro svážené SKO</t>
  </si>
  <si>
    <t>Náklady na překladiště</t>
  </si>
  <si>
    <t>Náklady na svoz SKO a BIA Humpolecko</t>
  </si>
  <si>
    <t>Výše poplatku</t>
  </si>
  <si>
    <t>LIKVIDACE BIA</t>
  </si>
  <si>
    <t>PROVOZ PŘEKLADIŠTĚ</t>
  </si>
  <si>
    <t>Celkový počet svážených subjektů</t>
  </si>
  <si>
    <t>Subjekty svážené TS Humpolec</t>
  </si>
  <si>
    <t>(SVOZ)A LIKVIDACE SEPARACE</t>
  </si>
  <si>
    <t>SVOZ SKO a BIA  - varianta navýšení</t>
  </si>
  <si>
    <t>Výpočet nákladů na  drcení a likvidaci</t>
  </si>
  <si>
    <t>Výpočet poměru ostatních odpadů</t>
  </si>
  <si>
    <t>Celkový objem separovaných odpadů</t>
  </si>
  <si>
    <t>Rozdíl</t>
  </si>
  <si>
    <t>ROZDÍL</t>
  </si>
  <si>
    <t>Obyvatelé města Humpolec</t>
  </si>
  <si>
    <t>Rekreační objekty města Humpolec</t>
  </si>
  <si>
    <t>Součet</t>
  </si>
  <si>
    <t>Výpočet výnosu z likvidace odpadů na překladišti</t>
  </si>
  <si>
    <t>Výpočet nákladů na likvidaci separovaných odpadů</t>
  </si>
  <si>
    <t>Výpočet nákladů na likvidaci SKO</t>
  </si>
  <si>
    <t>Výpočet % svážených subjektů TS za město Humpolec</t>
  </si>
  <si>
    <t>Výpočet nákladů na likvidaci BIA</t>
  </si>
  <si>
    <t>Produkce SKO</t>
  </si>
  <si>
    <t>Poměr za humpolecko</t>
  </si>
  <si>
    <t>Náklady na likvidaci</t>
  </si>
  <si>
    <t>Náklady na dopravu</t>
  </si>
  <si>
    <t>Množství SKO svážený od podnikatelů</t>
  </si>
  <si>
    <t>Podíl Humpolce na náklady na provoz překladiště</t>
  </si>
  <si>
    <t>Náklady na provoz překladiště</t>
  </si>
  <si>
    <t>Doprava SKO od podnikatelů z překladiště</t>
  </si>
  <si>
    <t>Poměr SKO od občanů</t>
  </si>
  <si>
    <t>Poměr za Humpolecko</t>
  </si>
  <si>
    <t>Odvoz z překladiště</t>
  </si>
  <si>
    <t>Doprava SKO od občanů z překladiště</t>
  </si>
  <si>
    <t>Klíč pro rozdělení najetých kilometrů z překladiště</t>
  </si>
  <si>
    <t>Vybraný poplatek od občanů</t>
  </si>
  <si>
    <t>Náklady na uložení SKO Humpolecko</t>
  </si>
  <si>
    <t>Náklady na uložení BIA Humpolecko</t>
  </si>
  <si>
    <t>Náklady na auto (přepočet na rok 2024)</t>
  </si>
  <si>
    <t>Navýšení pro rok 2025 + 6%</t>
  </si>
  <si>
    <t>Rozdíl - doplatek za rok 2024</t>
  </si>
  <si>
    <t>Výpočet výnosů za svoz SKO od podnikatelských subjektů Humpolecko</t>
  </si>
  <si>
    <t>Náklad na svoz SKO a BIA Humpolecko</t>
  </si>
  <si>
    <t>Náklady na separaci Humpolecko</t>
  </si>
  <si>
    <t>NÁKLADOVÉ A VÝNOSOVÉ VÝPOČTY</t>
  </si>
  <si>
    <t>Výpočet výnosu z likvidace odpadů na překladišti za  město Humpolec</t>
  </si>
  <si>
    <t>Poměrové výpočty</t>
  </si>
  <si>
    <t>Náklady na překladiště za město Humpolec</t>
  </si>
  <si>
    <t>Náklady celkem  - za SOMPO, a.s.</t>
  </si>
  <si>
    <t>Náklady na vozidla - za SOMPO, a.s.</t>
  </si>
  <si>
    <t>Režie SOMPO, a.s.</t>
  </si>
  <si>
    <t>Počet aut - SOMPO, a.s.</t>
  </si>
  <si>
    <t>Počet aut- TS Humpolec</t>
  </si>
  <si>
    <t>Zisk z odpadů za město Humpolec</t>
  </si>
  <si>
    <t>Náklady  - svoz TS Humpolec</t>
  </si>
  <si>
    <t>Výnos za podnikatele - výpočet z výnosů</t>
  </si>
  <si>
    <t>Náklad -svoz TS - varianta navýšení</t>
  </si>
  <si>
    <t>Náklad na svoz - varianta navýšení</t>
  </si>
  <si>
    <t>PRŮMĚR Z VÝNOSŮ</t>
  </si>
  <si>
    <t>Poplatek za Humpolecko</t>
  </si>
  <si>
    <t>Podnikatelé</t>
  </si>
  <si>
    <t>Výnos za podnikatele - výpočet z odvezených tun</t>
  </si>
  <si>
    <t>Ostatní obce SKO</t>
  </si>
  <si>
    <t>Podnikatelé SKO</t>
  </si>
  <si>
    <t>Podnikatelé ostatní odpad</t>
  </si>
  <si>
    <t>Poměr ostatní obce vs. Zbytek</t>
  </si>
  <si>
    <t>Poměr podnikatelé vs. Zbytek</t>
  </si>
  <si>
    <t>Ostatní obce ostatní odpad - provoz překladiště</t>
  </si>
  <si>
    <t>Podnikatelé ostatní odpad - provoz překladiště</t>
  </si>
  <si>
    <t>Ostatní obce ostatní odpad - výnosy z překladišt</t>
  </si>
  <si>
    <t>Podnikatelé ostatní odpad - výnosy překladiště</t>
  </si>
  <si>
    <t xml:space="preserve">Ostatní obce ostatní odpad </t>
  </si>
  <si>
    <t>Poměr SKO od podnikatelů</t>
  </si>
  <si>
    <t xml:space="preserve">Výnosy ze svozu </t>
  </si>
  <si>
    <t>Množství SKO svážený od občanů města Humpolec</t>
  </si>
  <si>
    <t>Poměr SKO od občanů města Humpolec</t>
  </si>
  <si>
    <t>Provoz překladiště (traktorbagr, poplatky, odpisy,..)</t>
  </si>
  <si>
    <t>Poměr SKO od občanů ostatní obce</t>
  </si>
  <si>
    <t>Ostatní obce</t>
  </si>
  <si>
    <t>Žádost o úhradu nákladů nad rámec solidarity systému</t>
  </si>
  <si>
    <t>Obce v rámci překladiště Humpolec</t>
  </si>
  <si>
    <t>Obce v rámci překladiště Humpolec - bez Humpolce</t>
  </si>
  <si>
    <t>Náklady nad rámec solidarity systému</t>
  </si>
  <si>
    <t>Poměr solidarity pro město Humpolec</t>
  </si>
  <si>
    <t>SOMPO smluvně hradí</t>
  </si>
  <si>
    <t>Solidarita systému</t>
  </si>
  <si>
    <t>PROVOZ PŘEKLADIŠTĚ - současný stav</t>
  </si>
  <si>
    <t>SVOZ SKO a BIA - region Humpolecko</t>
  </si>
  <si>
    <t>Předpokládané náklady TS Hump vč.režie</t>
  </si>
  <si>
    <t>Odměna spojená se svozem SKO a BIA  - TS Humpolec</t>
  </si>
  <si>
    <t>Odměna za služby spojené s provozem překladiště Humpolec - TS Humpolec</t>
  </si>
  <si>
    <t>Náklady na překladiště Humpolec</t>
  </si>
  <si>
    <t>Výpočet rentability překladiště za město Humpolec pro ostatní odpad</t>
  </si>
  <si>
    <t>Výpočet rentability překladiště za město Humpolec pro SKO</t>
  </si>
  <si>
    <t>Výpočet rentability překladiště spojených s městem Humpolec CELKEM</t>
  </si>
  <si>
    <t>Výpočet rentabily překladiště Humpolec</t>
  </si>
  <si>
    <t>Roční nárůst</t>
  </si>
  <si>
    <t>Přepočet produkce pro rok 2024</t>
  </si>
  <si>
    <t>Produkce 1.-9.2024</t>
  </si>
  <si>
    <t>Základní navýšení</t>
  </si>
  <si>
    <t>Náklady na překladišti za podnikatele</t>
  </si>
  <si>
    <t>Navýšení cen odpadů přijímaných na překladišti Humpolec na rok 2025 - podnikatelé</t>
  </si>
  <si>
    <t>Požadavek TS Humpolec</t>
  </si>
  <si>
    <t>Navýšení ceny u všech přijímaných odpadů od 1.1.2025 - cena je bez DPH a poplatků</t>
  </si>
  <si>
    <t>Drcení (cementárna)</t>
  </si>
  <si>
    <t>Výnosy celkem</t>
  </si>
  <si>
    <t>Výnosy prodeje druhotných surovin</t>
  </si>
  <si>
    <t>Odpady na drcení (třídírna)</t>
  </si>
  <si>
    <t>Množství SKO svážený od občanů</t>
  </si>
  <si>
    <t>Výnosy od podnikatelů ze svozu</t>
  </si>
  <si>
    <t>Poměr SKO od podnikatelů vs.odpad celkem</t>
  </si>
  <si>
    <t xml:space="preserve">Ostatní obce přepočet na rok </t>
  </si>
  <si>
    <t xml:space="preserve">Podnikatelé přepočet na rok </t>
  </si>
  <si>
    <t>Rozbor rentability třídění separace</t>
  </si>
  <si>
    <t>Kontrola</t>
  </si>
  <si>
    <t>Klíč k přepočtu nákladů</t>
  </si>
  <si>
    <t>BIO km</t>
  </si>
  <si>
    <t>SKO tun obce</t>
  </si>
  <si>
    <t>SKO tun celkem</t>
  </si>
  <si>
    <t>BIO tun obce</t>
  </si>
  <si>
    <t>SKO km celkem</t>
  </si>
  <si>
    <t>SKO km obce</t>
  </si>
  <si>
    <t>svoz BIO</t>
  </si>
  <si>
    <t>svoz SKO</t>
  </si>
  <si>
    <t>SKO linky</t>
  </si>
  <si>
    <t>BIO linky</t>
  </si>
  <si>
    <t>hrádek</t>
  </si>
  <si>
    <t>celé SOMPO</t>
  </si>
  <si>
    <t>Poměr počítá z produkce SKO a BIO v tunách</t>
  </si>
  <si>
    <t>1.-9.2025</t>
  </si>
  <si>
    <t>1.-.9.2025</t>
  </si>
  <si>
    <t>01.-09.2025</t>
  </si>
  <si>
    <t>Rozbor poplatku Humpolecko - poměrově přepočteno na rok 2025</t>
  </si>
  <si>
    <t>Rozbor poplatku Humpolecko na občana - poměrově přepočteno na rok 2025</t>
  </si>
  <si>
    <t>Přepočet na rok 2025</t>
  </si>
  <si>
    <t>1.- 9.2025</t>
  </si>
  <si>
    <t>Zaplaceno</t>
  </si>
  <si>
    <t>Požadavek</t>
  </si>
  <si>
    <t>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</si>
</sst>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#,##0\ &quot;Kč&quot;;[Red]\-#,##0\ &quot;Kč&quot;"/>
    <numFmt numFmtId="8" formatCode="#,##0.00\ &quot;Kč&quot;;[Red]\-#,##0.00\ &quot;Kč&quot;"/>
    <numFmt numFmtId="164" formatCode="#0"/>
    <numFmt numFmtId="165" formatCode="000000"/>
    <numFmt numFmtId="166" formatCode="yyyy"/>
    <numFmt numFmtId="167" formatCode="#,##0\ &quot;Kč&quot;"/>
    <numFmt numFmtId="168" formatCode="#,##0.00\ &quot;Kč&quot;"/>
    <numFmt numFmtId="169" formatCode="#,##0&quot; t&quot;"/>
    <numFmt numFmtId="170" formatCode="#,##0&quot; km&quot;"/>
    <numFmt numFmtId="171" formatCode="#,##0&quot; Kč/km&quot;"/>
    <numFmt numFmtId="172" formatCode="#,##0&quot; obyv.&quot;"/>
    <numFmt numFmtId="173" formatCode="#,##0&quot; Kč/t&quot;"/>
    <numFmt numFmtId="174" formatCode="#,##0&quot; Kč/obyv.&quot;"/>
    <numFmt numFmtId="175" formatCode="#,##0&quot; objektů&quot;"/>
    <numFmt numFmtId="176" formatCode="#,##0&quot; Kč/obyv.&quot;;[Red]\-#,##0&quot; Kč/obyv.&quot;"/>
    <numFmt numFmtId="177" formatCode="#,##0&quot; subjektů&quot;"/>
    <numFmt numFmtId="178" formatCode="0_ ;[Red]\-0\ "/>
    <numFmt numFmtId="179" formatCode="0.0%"/>
  </numFmts>
  <fonts count="2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8"/>
      <color theme="1"/>
      <name val="Myriad Pro"/>
      <family val="2"/>
    </font>
    <font>
      <b/>
      <sz val="18"/>
      <color theme="1"/>
      <name val="Myriad Pro"/>
      <family val="2"/>
    </font>
    <font>
      <b/>
      <sz val="18"/>
      <color rgb="FFFF0000"/>
      <name val="Myriad Pro"/>
      <family val="2"/>
    </font>
    <font>
      <sz val="14"/>
      <color theme="1"/>
      <name val="Myriad Pro"/>
      <family val="2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Myriad Pro"/>
      <family val="2"/>
    </font>
    <font>
      <sz val="16"/>
      <color theme="1"/>
      <name val="Myriad Pro"/>
      <family val="2"/>
    </font>
    <font>
      <b/>
      <u/>
      <sz val="16"/>
      <color theme="1"/>
      <name val="Myriad Pro"/>
      <family val="2"/>
    </font>
    <font>
      <sz val="11"/>
      <color theme="1"/>
      <name val="Myriad Pro"/>
      <family val="2"/>
    </font>
    <font>
      <sz val="12"/>
      <color theme="1"/>
      <name val="Myriad Pro"/>
      <family val="2"/>
    </font>
    <font>
      <b/>
      <u/>
      <sz val="20"/>
      <color theme="1"/>
      <name val="Myriad Pro"/>
      <family val="2"/>
    </font>
    <font>
      <b/>
      <u/>
      <sz val="22"/>
      <color theme="1"/>
      <name val="Myriad Pro"/>
      <family val="2"/>
    </font>
    <font>
      <b/>
      <sz val="20"/>
      <color theme="1"/>
      <name val="Myriad Pro"/>
      <family val="2"/>
    </font>
    <font>
      <sz val="10"/>
      <color theme="1"/>
      <name val="Myriad Pro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165" fontId="2" fillId="0" borderId="0" xfId="0" applyNumberFormat="1" applyFont="1"/>
    <xf numFmtId="4" fontId="0" fillId="0" borderId="0" xfId="0" applyNumberFormat="1"/>
    <xf numFmtId="16" fontId="0" fillId="0" borderId="0" xfId="0" applyNumberFormat="1"/>
    <xf numFmtId="166" fontId="0" fillId="0" borderId="0" xfId="0" applyNumberFormat="1"/>
    <xf numFmtId="9" fontId="0" fillId="0" borderId="0" xfId="0" applyNumberFormat="1"/>
    <xf numFmtId="10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7" xfId="0" applyFont="1" applyBorder="1"/>
    <xf numFmtId="167" fontId="3" fillId="0" borderId="8" xfId="0" applyNumberFormat="1" applyFont="1" applyBorder="1"/>
    <xf numFmtId="0" fontId="3" fillId="0" borderId="9" xfId="0" applyFont="1" applyBorder="1"/>
    <xf numFmtId="0" fontId="3" fillId="0" borderId="2" xfId="0" applyFont="1" applyBorder="1"/>
    <xf numFmtId="167" fontId="3" fillId="0" borderId="1" xfId="0" applyNumberFormat="1" applyFont="1" applyBorder="1"/>
    <xf numFmtId="0" fontId="3" fillId="0" borderId="3" xfId="0" applyFont="1" applyBorder="1"/>
    <xf numFmtId="4" fontId="3" fillId="0" borderId="1" xfId="0" applyNumberFormat="1" applyFont="1" applyBorder="1"/>
    <xf numFmtId="10" fontId="3" fillId="0" borderId="1" xfId="0" applyNumberFormat="1" applyFont="1" applyBorder="1"/>
    <xf numFmtId="0" fontId="3" fillId="0" borderId="1" xfId="0" applyFont="1" applyBorder="1"/>
    <xf numFmtId="0" fontId="4" fillId="0" borderId="2" xfId="0" applyFont="1" applyBorder="1"/>
    <xf numFmtId="167" fontId="4" fillId="0" borderId="1" xfId="0" applyNumberFormat="1" applyFont="1" applyBorder="1"/>
    <xf numFmtId="0" fontId="4" fillId="0" borderId="3" xfId="0" applyFont="1" applyBorder="1"/>
    <xf numFmtId="0" fontId="4" fillId="0" borderId="1" xfId="0" applyFont="1" applyBorder="1"/>
    <xf numFmtId="167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0" fontId="4" fillId="0" borderId="5" xfId="0" applyNumberFormat="1" applyFont="1" applyBorder="1"/>
    <xf numFmtId="169" fontId="4" fillId="0" borderId="1" xfId="0" applyNumberFormat="1" applyFont="1" applyBorder="1"/>
    <xf numFmtId="170" fontId="4" fillId="0" borderId="1" xfId="0" applyNumberFormat="1" applyFont="1" applyBorder="1"/>
    <xf numFmtId="171" fontId="4" fillId="0" borderId="1" xfId="0" applyNumberFormat="1" applyFont="1" applyBorder="1"/>
    <xf numFmtId="10" fontId="4" fillId="0" borderId="1" xfId="0" applyNumberFormat="1" applyFont="1" applyBorder="1"/>
    <xf numFmtId="167" fontId="3" fillId="0" borderId="3" xfId="0" applyNumberFormat="1" applyFont="1" applyBorder="1"/>
    <xf numFmtId="0" fontId="5" fillId="0" borderId="2" xfId="0" applyFont="1" applyBorder="1"/>
    <xf numFmtId="167" fontId="5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7" fillId="0" borderId="0" xfId="0" applyFont="1"/>
    <xf numFmtId="49" fontId="0" fillId="0" borderId="0" xfId="0" applyNumberFormat="1"/>
    <xf numFmtId="0" fontId="7" fillId="0" borderId="14" xfId="0" applyFont="1" applyBorder="1"/>
    <xf numFmtId="0" fontId="7" fillId="0" borderId="15" xfId="0" applyFont="1" applyBorder="1"/>
    <xf numFmtId="49" fontId="7" fillId="0" borderId="15" xfId="0" applyNumberFormat="1" applyFont="1" applyBorder="1"/>
    <xf numFmtId="0" fontId="7" fillId="0" borderId="16" xfId="0" applyFont="1" applyBorder="1"/>
    <xf numFmtId="49" fontId="7" fillId="0" borderId="0" xfId="0" applyNumberFormat="1" applyFont="1"/>
    <xf numFmtId="0" fontId="0" fillId="0" borderId="14" xfId="0" applyBorder="1"/>
    <xf numFmtId="0" fontId="0" fillId="0" borderId="15" xfId="0" applyBorder="1"/>
    <xf numFmtId="49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9" fillId="0" borderId="0" xfId="0" applyFont="1"/>
    <xf numFmtId="0" fontId="9" fillId="0" borderId="0" xfId="0" applyFont="1" applyAlignment="1">
      <alignment horizontal="center"/>
    </xf>
    <xf numFmtId="167" fontId="9" fillId="0" borderId="0" xfId="0" applyNumberFormat="1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1" xfId="0" applyFont="1" applyBorder="1"/>
    <xf numFmtId="167" fontId="9" fillId="0" borderId="1" xfId="0" applyNumberFormat="1" applyFont="1" applyBorder="1"/>
    <xf numFmtId="0" fontId="9" fillId="0" borderId="2" xfId="0" applyFont="1" applyBorder="1"/>
    <xf numFmtId="167" fontId="9" fillId="0" borderId="3" xfId="0" applyNumberFormat="1" applyFont="1" applyBorder="1"/>
    <xf numFmtId="0" fontId="9" fillId="0" borderId="4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4" xfId="0" applyFont="1" applyBorder="1"/>
    <xf numFmtId="10" fontId="10" fillId="0" borderId="5" xfId="0" applyNumberFormat="1" applyFont="1" applyBorder="1"/>
    <xf numFmtId="10" fontId="10" fillId="0" borderId="6" xfId="0" applyNumberFormat="1" applyFont="1" applyBorder="1"/>
    <xf numFmtId="0" fontId="8" fillId="0" borderId="1" xfId="0" applyFont="1" applyBorder="1" applyAlignment="1">
      <alignment horizontal="center"/>
    </xf>
    <xf numFmtId="170" fontId="9" fillId="0" borderId="1" xfId="0" applyNumberFormat="1" applyFont="1" applyBorder="1"/>
    <xf numFmtId="171" fontId="9" fillId="0" borderId="1" xfId="0" applyNumberFormat="1" applyFont="1" applyBorder="1"/>
    <xf numFmtId="0" fontId="8" fillId="0" borderId="3" xfId="0" applyFont="1" applyBorder="1" applyAlignment="1">
      <alignment horizontal="center"/>
    </xf>
    <xf numFmtId="170" fontId="9" fillId="0" borderId="3" xfId="0" applyNumberFormat="1" applyFont="1" applyBorder="1"/>
    <xf numFmtId="171" fontId="9" fillId="0" borderId="3" xfId="0" applyNumberFormat="1" applyFont="1" applyBorder="1"/>
    <xf numFmtId="171" fontId="10" fillId="0" borderId="5" xfId="0" applyNumberFormat="1" applyFont="1" applyBorder="1"/>
    <xf numFmtId="171" fontId="10" fillId="0" borderId="6" xfId="0" applyNumberFormat="1" applyFont="1" applyBorder="1"/>
    <xf numFmtId="0" fontId="9" fillId="0" borderId="3" xfId="0" applyFont="1" applyBorder="1"/>
    <xf numFmtId="0" fontId="8" fillId="0" borderId="1" xfId="0" applyFont="1" applyBorder="1"/>
    <xf numFmtId="9" fontId="9" fillId="0" borderId="1" xfId="0" applyNumberFormat="1" applyFont="1" applyBorder="1"/>
    <xf numFmtId="0" fontId="8" fillId="0" borderId="3" xfId="0" applyFont="1" applyBorder="1"/>
    <xf numFmtId="9" fontId="9" fillId="0" borderId="3" xfId="0" applyNumberFormat="1" applyFont="1" applyBorder="1"/>
    <xf numFmtId="9" fontId="10" fillId="0" borderId="5" xfId="0" applyNumberFormat="1" applyFont="1" applyBorder="1"/>
    <xf numFmtId="9" fontId="10" fillId="0" borderId="6" xfId="0" applyNumberFormat="1" applyFont="1" applyBorder="1"/>
    <xf numFmtId="170" fontId="9" fillId="0" borderId="5" xfId="0" applyNumberFormat="1" applyFont="1" applyBorder="1"/>
    <xf numFmtId="170" fontId="9" fillId="0" borderId="6" xfId="0" applyNumberFormat="1" applyFont="1" applyBorder="1"/>
    <xf numFmtId="169" fontId="9" fillId="0" borderId="1" xfId="0" applyNumberFormat="1" applyFont="1" applyBorder="1"/>
    <xf numFmtId="169" fontId="9" fillId="0" borderId="3" xfId="0" applyNumberFormat="1" applyFont="1" applyBorder="1"/>
    <xf numFmtId="0" fontId="10" fillId="0" borderId="2" xfId="0" applyFont="1" applyBorder="1"/>
    <xf numFmtId="167" fontId="10" fillId="0" borderId="1" xfId="0" applyNumberFormat="1" applyFont="1" applyBorder="1"/>
    <xf numFmtId="167" fontId="10" fillId="0" borderId="3" xfId="0" applyNumberFormat="1" applyFont="1" applyBorder="1"/>
    <xf numFmtId="0" fontId="10" fillId="0" borderId="27" xfId="0" applyFont="1" applyBorder="1"/>
    <xf numFmtId="167" fontId="10" fillId="0" borderId="28" xfId="0" applyNumberFormat="1" applyFont="1" applyBorder="1"/>
    <xf numFmtId="167" fontId="10" fillId="0" borderId="29" xfId="0" applyNumberFormat="1" applyFont="1" applyBorder="1"/>
    <xf numFmtId="173" fontId="9" fillId="0" borderId="1" xfId="0" applyNumberFormat="1" applyFont="1" applyBorder="1"/>
    <xf numFmtId="173" fontId="9" fillId="0" borderId="3" xfId="0" applyNumberFormat="1" applyFont="1" applyBorder="1"/>
    <xf numFmtId="0" fontId="9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2" fillId="0" borderId="4" xfId="0" applyFont="1" applyBorder="1"/>
    <xf numFmtId="173" fontId="10" fillId="0" borderId="5" xfId="0" applyNumberFormat="1" applyFont="1" applyBorder="1"/>
    <xf numFmtId="173" fontId="10" fillId="0" borderId="6" xfId="0" applyNumberFormat="1" applyFont="1" applyBorder="1"/>
    <xf numFmtId="9" fontId="10" fillId="0" borderId="1" xfId="0" applyNumberFormat="1" applyFont="1" applyBorder="1"/>
    <xf numFmtId="9" fontId="10" fillId="0" borderId="3" xfId="0" applyNumberFormat="1" applyFont="1" applyBorder="1"/>
    <xf numFmtId="6" fontId="9" fillId="0" borderId="1" xfId="0" applyNumberFormat="1" applyFont="1" applyBorder="1"/>
    <xf numFmtId="6" fontId="9" fillId="0" borderId="3" xfId="0" applyNumberFormat="1" applyFont="1" applyBorder="1"/>
    <xf numFmtId="6" fontId="9" fillId="0" borderId="5" xfId="0" applyNumberFormat="1" applyFont="1" applyBorder="1"/>
    <xf numFmtId="6" fontId="10" fillId="0" borderId="6" xfId="0" applyNumberFormat="1" applyFont="1" applyBorder="1"/>
    <xf numFmtId="6" fontId="12" fillId="0" borderId="1" xfId="0" applyNumberFormat="1" applyFont="1" applyBorder="1"/>
    <xf numFmtId="6" fontId="12" fillId="0" borderId="3" xfId="0" applyNumberFormat="1" applyFont="1" applyBorder="1"/>
    <xf numFmtId="6" fontId="9" fillId="0" borderId="0" xfId="0" applyNumberFormat="1" applyFont="1"/>
    <xf numFmtId="0" fontId="9" fillId="0" borderId="27" xfId="0" applyFont="1" applyBorder="1"/>
    <xf numFmtId="0" fontId="12" fillId="0" borderId="2" xfId="0" applyFont="1" applyBorder="1"/>
    <xf numFmtId="3" fontId="9" fillId="0" borderId="28" xfId="0" applyNumberFormat="1" applyFont="1" applyBorder="1"/>
    <xf numFmtId="176" fontId="9" fillId="0" borderId="1" xfId="0" applyNumberFormat="1" applyFont="1" applyBorder="1"/>
    <xf numFmtId="176" fontId="8" fillId="0" borderId="1" xfId="0" applyNumberFormat="1" applyFont="1" applyBorder="1"/>
    <xf numFmtId="176" fontId="8" fillId="0" borderId="3" xfId="0" applyNumberFormat="1" applyFont="1" applyBorder="1"/>
    <xf numFmtId="176" fontId="9" fillId="0" borderId="3" xfId="0" applyNumberFormat="1" applyFont="1" applyBorder="1"/>
    <xf numFmtId="176" fontId="11" fillId="0" borderId="1" xfId="0" applyNumberFormat="1" applyFont="1" applyBorder="1"/>
    <xf numFmtId="176" fontId="11" fillId="0" borderId="3" xfId="0" applyNumberFormat="1" applyFont="1" applyBorder="1"/>
    <xf numFmtId="176" fontId="12" fillId="0" borderId="1" xfId="0" applyNumberFormat="1" applyFont="1" applyBorder="1"/>
    <xf numFmtId="176" fontId="12" fillId="0" borderId="3" xfId="0" applyNumberFormat="1" applyFont="1" applyBorder="1"/>
    <xf numFmtId="176" fontId="12" fillId="0" borderId="5" xfId="0" applyNumberFormat="1" applyFont="1" applyBorder="1"/>
    <xf numFmtId="176" fontId="12" fillId="0" borderId="6" xfId="0" applyNumberFormat="1" applyFont="1" applyBorder="1"/>
    <xf numFmtId="6" fontId="12" fillId="0" borderId="5" xfId="0" applyNumberFormat="1" applyFont="1" applyBorder="1"/>
    <xf numFmtId="6" fontId="12" fillId="0" borderId="6" xfId="0" applyNumberFormat="1" applyFont="1" applyBorder="1"/>
    <xf numFmtId="167" fontId="9" fillId="0" borderId="2" xfId="0" applyNumberFormat="1" applyFont="1" applyBorder="1"/>
    <xf numFmtId="0" fontId="10" fillId="0" borderId="30" xfId="0" applyFont="1" applyBorder="1"/>
    <xf numFmtId="10" fontId="10" fillId="0" borderId="31" xfId="0" applyNumberFormat="1" applyFont="1" applyBorder="1"/>
    <xf numFmtId="10" fontId="10" fillId="0" borderId="32" xfId="0" applyNumberFormat="1" applyFont="1" applyBorder="1"/>
    <xf numFmtId="171" fontId="10" fillId="0" borderId="31" xfId="0" applyNumberFormat="1" applyFont="1" applyBorder="1"/>
    <xf numFmtId="171" fontId="10" fillId="0" borderId="32" xfId="0" applyNumberFormat="1" applyFont="1" applyBorder="1"/>
    <xf numFmtId="169" fontId="10" fillId="0" borderId="31" xfId="0" applyNumberFormat="1" applyFont="1" applyBorder="1"/>
    <xf numFmtId="169" fontId="10" fillId="0" borderId="32" xfId="0" applyNumberFormat="1" applyFont="1" applyBorder="1"/>
    <xf numFmtId="6" fontId="10" fillId="0" borderId="5" xfId="0" applyNumberFormat="1" applyFont="1" applyBorder="1"/>
    <xf numFmtId="170" fontId="9" fillId="0" borderId="28" xfId="0" applyNumberFormat="1" applyFont="1" applyBorder="1"/>
    <xf numFmtId="170" fontId="9" fillId="0" borderId="29" xfId="0" applyNumberFormat="1" applyFont="1" applyBorder="1"/>
    <xf numFmtId="9" fontId="9" fillId="0" borderId="28" xfId="0" applyNumberFormat="1" applyFont="1" applyBorder="1"/>
    <xf numFmtId="9" fontId="9" fillId="0" borderId="29" xfId="0" applyNumberFormat="1" applyFont="1" applyBorder="1"/>
    <xf numFmtId="3" fontId="9" fillId="0" borderId="0" xfId="0" applyNumberFormat="1" applyFont="1"/>
    <xf numFmtId="3" fontId="7" fillId="0" borderId="0" xfId="0" applyNumberFormat="1" applyFont="1"/>
    <xf numFmtId="4" fontId="7" fillId="0" borderId="0" xfId="0" applyNumberFormat="1" applyFont="1"/>
    <xf numFmtId="6" fontId="9" fillId="0" borderId="6" xfId="0" applyNumberFormat="1" applyFont="1" applyBorder="1"/>
    <xf numFmtId="6" fontId="9" fillId="0" borderId="1" xfId="0" applyNumberFormat="1" applyFont="1" applyBorder="1" applyAlignment="1">
      <alignment horizontal="right"/>
    </xf>
    <xf numFmtId="167" fontId="10" fillId="0" borderId="5" xfId="0" applyNumberFormat="1" applyFont="1" applyBorder="1"/>
    <xf numFmtId="167" fontId="10" fillId="0" borderId="6" xfId="0" applyNumberFormat="1" applyFont="1" applyBorder="1"/>
    <xf numFmtId="167" fontId="9" fillId="0" borderId="1" xfId="0" applyNumberFormat="1" applyFont="1" applyBorder="1" applyAlignment="1">
      <alignment horizontal="right"/>
    </xf>
    <xf numFmtId="0" fontId="8" fillId="0" borderId="2" xfId="0" applyFont="1" applyBorder="1"/>
    <xf numFmtId="6" fontId="8" fillId="0" borderId="1" xfId="0" applyNumberFormat="1" applyFont="1" applyBorder="1"/>
    <xf numFmtId="6" fontId="8" fillId="0" borderId="3" xfId="0" applyNumberFormat="1" applyFont="1" applyBorder="1"/>
    <xf numFmtId="0" fontId="9" fillId="0" borderId="7" xfId="0" applyFont="1" applyBorder="1"/>
    <xf numFmtId="6" fontId="9" fillId="0" borderId="8" xfId="0" applyNumberFormat="1" applyFont="1" applyBorder="1" applyAlignment="1">
      <alignment horizontal="right"/>
    </xf>
    <xf numFmtId="6" fontId="10" fillId="0" borderId="9" xfId="0" applyNumberFormat="1" applyFont="1" applyBorder="1" applyAlignment="1">
      <alignment horizontal="right"/>
    </xf>
    <xf numFmtId="0" fontId="4" fillId="0" borderId="27" xfId="0" applyFont="1" applyBorder="1"/>
    <xf numFmtId="0" fontId="4" fillId="0" borderId="28" xfId="0" applyFont="1" applyBorder="1"/>
    <xf numFmtId="167" fontId="4" fillId="0" borderId="28" xfId="0" applyNumberFormat="1" applyFont="1" applyBorder="1"/>
    <xf numFmtId="167" fontId="4" fillId="0" borderId="29" xfId="0" applyNumberFormat="1" applyFont="1" applyBorder="1"/>
    <xf numFmtId="0" fontId="4" fillId="0" borderId="10" xfId="0" applyFont="1" applyBorder="1"/>
    <xf numFmtId="0" fontId="4" fillId="0" borderId="11" xfId="0" applyFont="1" applyBorder="1"/>
    <xf numFmtId="6" fontId="4" fillId="0" borderId="28" xfId="0" applyNumberFormat="1" applyFont="1" applyBorder="1"/>
    <xf numFmtId="167" fontId="4" fillId="0" borderId="6" xfId="0" applyNumberFormat="1" applyFont="1" applyBorder="1"/>
    <xf numFmtId="0" fontId="12" fillId="0" borderId="27" xfId="0" applyFont="1" applyBorder="1"/>
    <xf numFmtId="6" fontId="12" fillId="0" borderId="28" xfId="0" applyNumberFormat="1" applyFont="1" applyBorder="1"/>
    <xf numFmtId="6" fontId="12" fillId="0" borderId="29" xfId="0" applyNumberFormat="1" applyFont="1" applyBorder="1"/>
    <xf numFmtId="167" fontId="9" fillId="0" borderId="3" xfId="0" applyNumberFormat="1" applyFont="1" applyBorder="1" applyAlignment="1">
      <alignment horizontal="right"/>
    </xf>
    <xf numFmtId="6" fontId="9" fillId="0" borderId="3" xfId="0" applyNumberFormat="1" applyFont="1" applyBorder="1" applyAlignment="1">
      <alignment horizontal="right"/>
    </xf>
    <xf numFmtId="169" fontId="9" fillId="0" borderId="5" xfId="0" applyNumberFormat="1" applyFont="1" applyBorder="1"/>
    <xf numFmtId="169" fontId="9" fillId="0" borderId="6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12" fillId="0" borderId="5" xfId="0" applyNumberFormat="1" applyFont="1" applyBorder="1"/>
    <xf numFmtId="167" fontId="12" fillId="0" borderId="6" xfId="0" applyNumberFormat="1" applyFont="1" applyBorder="1"/>
    <xf numFmtId="0" fontId="10" fillId="0" borderId="0" xfId="0" applyFont="1"/>
    <xf numFmtId="167" fontId="10" fillId="0" borderId="0" xfId="0" applyNumberFormat="1" applyFont="1"/>
    <xf numFmtId="169" fontId="10" fillId="0" borderId="0" xfId="0" applyNumberFormat="1" applyFont="1"/>
    <xf numFmtId="0" fontId="9" fillId="2" borderId="2" xfId="0" applyFont="1" applyFill="1" applyBorder="1"/>
    <xf numFmtId="167" fontId="9" fillId="2" borderId="1" xfId="0" applyNumberFormat="1" applyFont="1" applyFill="1" applyBorder="1"/>
    <xf numFmtId="167" fontId="9" fillId="2" borderId="3" xfId="0" applyNumberFormat="1" applyFont="1" applyFill="1" applyBorder="1"/>
    <xf numFmtId="6" fontId="9" fillId="0" borderId="28" xfId="0" applyNumberFormat="1" applyFont="1" applyBorder="1" applyAlignment="1">
      <alignment horizontal="center"/>
    </xf>
    <xf numFmtId="6" fontId="9" fillId="0" borderId="29" xfId="0" applyNumberFormat="1" applyFont="1" applyBorder="1" applyAlignment="1">
      <alignment horizontal="center"/>
    </xf>
    <xf numFmtId="167" fontId="9" fillId="0" borderId="28" xfId="0" applyNumberFormat="1" applyFont="1" applyBorder="1" applyAlignment="1">
      <alignment horizontal="center"/>
    </xf>
    <xf numFmtId="167" fontId="9" fillId="0" borderId="29" xfId="0" applyNumberFormat="1" applyFont="1" applyBorder="1" applyAlignment="1">
      <alignment horizontal="center"/>
    </xf>
    <xf numFmtId="6" fontId="9" fillId="0" borderId="1" xfId="0" applyNumberFormat="1" applyFont="1" applyBorder="1" applyAlignment="1">
      <alignment horizontal="center"/>
    </xf>
    <xf numFmtId="6" fontId="9" fillId="0" borderId="3" xfId="0" applyNumberFormat="1" applyFont="1" applyBorder="1" applyAlignment="1">
      <alignment horizontal="center"/>
    </xf>
    <xf numFmtId="177" fontId="9" fillId="0" borderId="28" xfId="0" applyNumberFormat="1" applyFont="1" applyBorder="1" applyAlignment="1">
      <alignment horizontal="center"/>
    </xf>
    <xf numFmtId="177" fontId="9" fillId="0" borderId="29" xfId="0" applyNumberFormat="1" applyFont="1" applyBorder="1" applyAlignment="1">
      <alignment horizontal="center"/>
    </xf>
    <xf numFmtId="9" fontId="9" fillId="0" borderId="28" xfId="0" applyNumberFormat="1" applyFont="1" applyBorder="1" applyAlignment="1">
      <alignment horizontal="center"/>
    </xf>
    <xf numFmtId="9" fontId="9" fillId="0" borderId="29" xfId="0" applyNumberFormat="1" applyFont="1" applyBorder="1" applyAlignment="1">
      <alignment horizontal="center"/>
    </xf>
    <xf numFmtId="9" fontId="9" fillId="0" borderId="0" xfId="0" applyNumberFormat="1" applyFont="1"/>
    <xf numFmtId="177" fontId="9" fillId="0" borderId="0" xfId="0" applyNumberFormat="1" applyFont="1"/>
    <xf numFmtId="6" fontId="9" fillId="0" borderId="5" xfId="0" applyNumberFormat="1" applyFont="1" applyBorder="1" applyAlignment="1">
      <alignment horizontal="center"/>
    </xf>
    <xf numFmtId="6" fontId="10" fillId="0" borderId="6" xfId="0" applyNumberFormat="1" applyFont="1" applyBorder="1" applyAlignment="1">
      <alignment horizontal="center"/>
    </xf>
    <xf numFmtId="6" fontId="3" fillId="0" borderId="5" xfId="0" applyNumberFormat="1" applyFont="1" applyBorder="1"/>
    <xf numFmtId="6" fontId="3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9" fillId="0" borderId="38" xfId="0" applyFont="1" applyBorder="1"/>
    <xf numFmtId="0" fontId="10" fillId="0" borderId="40" xfId="0" applyFont="1" applyBorder="1"/>
    <xf numFmtId="0" fontId="9" fillId="0" borderId="39" xfId="0" applyFont="1" applyBorder="1"/>
    <xf numFmtId="0" fontId="10" fillId="0" borderId="38" xfId="0" applyFont="1" applyBorder="1"/>
    <xf numFmtId="0" fontId="10" fillId="0" borderId="41" xfId="0" applyFont="1" applyBorder="1"/>
    <xf numFmtId="0" fontId="12" fillId="0" borderId="38" xfId="0" applyFont="1" applyBorder="1"/>
    <xf numFmtId="0" fontId="12" fillId="0" borderId="39" xfId="0" applyFont="1" applyBorder="1"/>
    <xf numFmtId="167" fontId="9" fillId="0" borderId="38" xfId="0" applyNumberFormat="1" applyFont="1" applyBorder="1"/>
    <xf numFmtId="0" fontId="8" fillId="0" borderId="38" xfId="0" applyFont="1" applyBorder="1"/>
    <xf numFmtId="0" fontId="9" fillId="0" borderId="38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2" fillId="0" borderId="41" xfId="0" applyFont="1" applyBorder="1"/>
    <xf numFmtId="0" fontId="9" fillId="0" borderId="37" xfId="0" applyFont="1" applyBorder="1"/>
    <xf numFmtId="0" fontId="8" fillId="0" borderId="38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178" fontId="8" fillId="0" borderId="28" xfId="0" applyNumberFormat="1" applyFont="1" applyBorder="1" applyAlignment="1">
      <alignment horizontal="center"/>
    </xf>
    <xf numFmtId="6" fontId="8" fillId="0" borderId="29" xfId="0" applyNumberFormat="1" applyFont="1" applyBorder="1" applyAlignment="1">
      <alignment horizontal="center"/>
    </xf>
    <xf numFmtId="167" fontId="16" fillId="0" borderId="2" xfId="0" applyNumberFormat="1" applyFont="1" applyBorder="1"/>
    <xf numFmtId="167" fontId="16" fillId="0" borderId="38" xfId="0" applyNumberFormat="1" applyFont="1" applyBorder="1"/>
    <xf numFmtId="6" fontId="16" fillId="0" borderId="1" xfId="0" applyNumberFormat="1" applyFont="1" applyBorder="1"/>
    <xf numFmtId="6" fontId="16" fillId="0" borderId="3" xfId="0" applyNumberFormat="1" applyFont="1" applyBorder="1"/>
    <xf numFmtId="0" fontId="8" fillId="0" borderId="7" xfId="0" applyFont="1" applyBorder="1" applyAlignment="1">
      <alignment horizontal="center" shrinkToFit="1"/>
    </xf>
    <xf numFmtId="0" fontId="9" fillId="0" borderId="2" xfId="0" applyFont="1" applyBorder="1" applyAlignment="1">
      <alignment shrinkToFit="1"/>
    </xf>
    <xf numFmtId="0" fontId="10" fillId="0" borderId="4" xfId="0" applyFont="1" applyBorder="1" applyAlignment="1">
      <alignment shrinkToFit="1"/>
    </xf>
    <xf numFmtId="0" fontId="10" fillId="0" borderId="30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9" fillId="0" borderId="0" xfId="0" applyFont="1" applyAlignment="1">
      <alignment shrinkToFit="1"/>
    </xf>
    <xf numFmtId="0" fontId="9" fillId="0" borderId="27" xfId="0" applyFont="1" applyBorder="1" applyAlignment="1">
      <alignment shrinkToFit="1"/>
    </xf>
    <xf numFmtId="0" fontId="10" fillId="0" borderId="0" xfId="0" applyFont="1" applyAlignment="1">
      <alignment shrinkToFit="1"/>
    </xf>
    <xf numFmtId="0" fontId="10" fillId="0" borderId="2" xfId="0" applyFont="1" applyBorder="1" applyAlignment="1">
      <alignment shrinkToFit="1"/>
    </xf>
    <xf numFmtId="0" fontId="8" fillId="0" borderId="37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9" fillId="0" borderId="38" xfId="0" applyFont="1" applyBorder="1" applyAlignment="1">
      <alignment shrinkToFit="1"/>
    </xf>
    <xf numFmtId="167" fontId="9" fillId="0" borderId="1" xfId="0" applyNumberFormat="1" applyFont="1" applyBorder="1" applyAlignment="1">
      <alignment shrinkToFit="1"/>
    </xf>
    <xf numFmtId="167" fontId="9" fillId="0" borderId="3" xfId="0" applyNumberFormat="1" applyFont="1" applyBorder="1" applyAlignment="1">
      <alignment shrinkToFit="1"/>
    </xf>
    <xf numFmtId="0" fontId="10" fillId="0" borderId="39" xfId="0" applyFont="1" applyBorder="1" applyAlignment="1">
      <alignment shrinkToFit="1"/>
    </xf>
    <xf numFmtId="10" fontId="10" fillId="0" borderId="5" xfId="0" applyNumberFormat="1" applyFont="1" applyBorder="1" applyAlignment="1">
      <alignment shrinkToFit="1"/>
    </xf>
    <xf numFmtId="10" fontId="10" fillId="0" borderId="6" xfId="0" applyNumberFormat="1" applyFont="1" applyBorder="1" applyAlignment="1">
      <alignment shrinkToFit="1"/>
    </xf>
    <xf numFmtId="0" fontId="10" fillId="0" borderId="40" xfId="0" applyFont="1" applyBorder="1" applyAlignment="1">
      <alignment shrinkToFit="1"/>
    </xf>
    <xf numFmtId="10" fontId="10" fillId="0" borderId="31" xfId="0" applyNumberFormat="1" applyFont="1" applyBorder="1" applyAlignment="1">
      <alignment shrinkToFit="1"/>
    </xf>
    <xf numFmtId="10" fontId="10" fillId="0" borderId="32" xfId="0" applyNumberFormat="1" applyFont="1" applyBorder="1" applyAlignment="1">
      <alignment shrinkToFit="1"/>
    </xf>
    <xf numFmtId="0" fontId="8" fillId="0" borderId="1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170" fontId="9" fillId="0" borderId="1" xfId="0" applyNumberFormat="1" applyFont="1" applyBorder="1" applyAlignment="1">
      <alignment shrinkToFit="1"/>
    </xf>
    <xf numFmtId="170" fontId="9" fillId="0" borderId="3" xfId="0" applyNumberFormat="1" applyFont="1" applyBorder="1" applyAlignment="1">
      <alignment shrinkToFit="1"/>
    </xf>
    <xf numFmtId="171" fontId="9" fillId="0" borderId="1" xfId="0" applyNumberFormat="1" applyFont="1" applyBorder="1" applyAlignment="1">
      <alignment shrinkToFit="1"/>
    </xf>
    <xf numFmtId="171" fontId="9" fillId="0" borderId="3" xfId="0" applyNumberFormat="1" applyFont="1" applyBorder="1" applyAlignment="1">
      <alignment shrinkToFit="1"/>
    </xf>
    <xf numFmtId="171" fontId="10" fillId="0" borderId="5" xfId="0" applyNumberFormat="1" applyFont="1" applyBorder="1" applyAlignment="1">
      <alignment shrinkToFit="1"/>
    </xf>
    <xf numFmtId="171" fontId="10" fillId="0" borderId="6" xfId="0" applyNumberFormat="1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173" fontId="9" fillId="0" borderId="1" xfId="0" applyNumberFormat="1" applyFont="1" applyBorder="1" applyAlignment="1">
      <alignment shrinkToFit="1"/>
    </xf>
    <xf numFmtId="173" fontId="9" fillId="0" borderId="3" xfId="0" applyNumberFormat="1" applyFont="1" applyBorder="1" applyAlignment="1">
      <alignment shrinkToFit="1"/>
    </xf>
    <xf numFmtId="173" fontId="10" fillId="0" borderId="5" xfId="0" applyNumberFormat="1" applyFont="1" applyBorder="1" applyAlignment="1">
      <alignment shrinkToFit="1"/>
    </xf>
    <xf numFmtId="173" fontId="10" fillId="0" borderId="6" xfId="0" applyNumberFormat="1" applyFont="1" applyBorder="1" applyAlignment="1">
      <alignment shrinkToFit="1"/>
    </xf>
    <xf numFmtId="0" fontId="9" fillId="0" borderId="41" xfId="0" applyFont="1" applyBorder="1" applyAlignment="1">
      <alignment horizontal="center" vertical="center" shrinkToFit="1"/>
    </xf>
    <xf numFmtId="169" fontId="9" fillId="0" borderId="1" xfId="0" applyNumberFormat="1" applyFont="1" applyBorder="1" applyAlignment="1">
      <alignment shrinkToFit="1"/>
    </xf>
    <xf numFmtId="169" fontId="9" fillId="0" borderId="3" xfId="0" applyNumberFormat="1" applyFont="1" applyBorder="1" applyAlignment="1">
      <alignment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9" xfId="0" applyFont="1" applyBorder="1" applyAlignment="1">
      <alignment shrinkToFit="1"/>
    </xf>
    <xf numFmtId="6" fontId="9" fillId="0" borderId="5" xfId="0" applyNumberFormat="1" applyFont="1" applyBorder="1" applyAlignment="1">
      <alignment shrinkToFit="1"/>
    </xf>
    <xf numFmtId="6" fontId="9" fillId="0" borderId="6" xfId="0" applyNumberFormat="1" applyFont="1" applyBorder="1" applyAlignment="1">
      <alignment shrinkToFit="1"/>
    </xf>
    <xf numFmtId="6" fontId="9" fillId="0" borderId="1" xfId="0" applyNumberFormat="1" applyFont="1" applyBorder="1" applyAlignment="1">
      <alignment shrinkToFit="1"/>
    </xf>
    <xf numFmtId="6" fontId="9" fillId="0" borderId="3" xfId="0" applyNumberFormat="1" applyFont="1" applyBorder="1" applyAlignment="1">
      <alignment shrinkToFit="1"/>
    </xf>
    <xf numFmtId="6" fontId="9" fillId="0" borderId="0" xfId="0" applyNumberFormat="1" applyFont="1" applyAlignment="1">
      <alignment shrinkToFit="1"/>
    </xf>
    <xf numFmtId="9" fontId="9" fillId="0" borderId="1" xfId="0" applyNumberFormat="1" applyFont="1" applyBorder="1" applyAlignment="1">
      <alignment shrinkToFit="1"/>
    </xf>
    <xf numFmtId="9" fontId="9" fillId="0" borderId="3" xfId="0" applyNumberFormat="1" applyFont="1" applyBorder="1" applyAlignment="1">
      <alignment shrinkToFit="1"/>
    </xf>
    <xf numFmtId="9" fontId="9" fillId="0" borderId="5" xfId="0" applyNumberFormat="1" applyFont="1" applyBorder="1" applyAlignment="1">
      <alignment shrinkToFit="1"/>
    </xf>
    <xf numFmtId="9" fontId="9" fillId="0" borderId="6" xfId="0" applyNumberFormat="1" applyFont="1" applyBorder="1" applyAlignment="1">
      <alignment shrinkToFit="1"/>
    </xf>
    <xf numFmtId="170" fontId="9" fillId="0" borderId="28" xfId="0" applyNumberFormat="1" applyFont="1" applyBorder="1" applyAlignment="1">
      <alignment shrinkToFit="1"/>
    </xf>
    <xf numFmtId="170" fontId="9" fillId="0" borderId="29" xfId="0" applyNumberFormat="1" applyFont="1" applyBorder="1" applyAlignment="1">
      <alignment shrinkToFit="1"/>
    </xf>
    <xf numFmtId="9" fontId="9" fillId="0" borderId="28" xfId="0" applyNumberFormat="1" applyFont="1" applyBorder="1" applyAlignment="1">
      <alignment shrinkToFit="1"/>
    </xf>
    <xf numFmtId="9" fontId="9" fillId="0" borderId="29" xfId="0" applyNumberFormat="1" applyFont="1" applyBorder="1" applyAlignment="1">
      <alignment shrinkToFit="1"/>
    </xf>
    <xf numFmtId="170" fontId="9" fillId="0" borderId="5" xfId="0" applyNumberFormat="1" applyFont="1" applyBorder="1" applyAlignment="1">
      <alignment shrinkToFit="1"/>
    </xf>
    <xf numFmtId="170" fontId="9" fillId="0" borderId="6" xfId="0" applyNumberFormat="1" applyFont="1" applyBorder="1" applyAlignment="1">
      <alignment shrinkToFit="1"/>
    </xf>
    <xf numFmtId="171" fontId="10" fillId="0" borderId="31" xfId="0" applyNumberFormat="1" applyFont="1" applyBorder="1" applyAlignment="1">
      <alignment shrinkToFit="1"/>
    </xf>
    <xf numFmtId="171" fontId="10" fillId="0" borderId="32" xfId="0" applyNumberFormat="1" applyFont="1" applyBorder="1" applyAlignment="1">
      <alignment shrinkToFit="1"/>
    </xf>
    <xf numFmtId="171" fontId="10" fillId="0" borderId="0" xfId="0" applyNumberFormat="1" applyFont="1" applyAlignment="1">
      <alignment shrinkToFit="1"/>
    </xf>
    <xf numFmtId="0" fontId="8" fillId="0" borderId="1" xfId="0" applyFont="1" applyBorder="1" applyAlignment="1">
      <alignment shrinkToFit="1"/>
    </xf>
    <xf numFmtId="0" fontId="8" fillId="0" borderId="3" xfId="0" applyFont="1" applyBorder="1" applyAlignment="1">
      <alignment shrinkToFit="1"/>
    </xf>
    <xf numFmtId="172" fontId="9" fillId="0" borderId="1" xfId="0" applyNumberFormat="1" applyFont="1" applyBorder="1" applyAlignment="1">
      <alignment shrinkToFit="1"/>
    </xf>
    <xf numFmtId="172" fontId="9" fillId="0" borderId="3" xfId="0" applyNumberFormat="1" applyFont="1" applyBorder="1" applyAlignment="1">
      <alignment shrinkToFit="1"/>
    </xf>
    <xf numFmtId="175" fontId="9" fillId="0" borderId="1" xfId="0" applyNumberFormat="1" applyFont="1" applyBorder="1" applyAlignment="1">
      <alignment shrinkToFit="1"/>
    </xf>
    <xf numFmtId="175" fontId="9" fillId="0" borderId="3" xfId="0" applyNumberFormat="1" applyFont="1" applyBorder="1" applyAlignment="1">
      <alignment shrinkToFit="1"/>
    </xf>
    <xf numFmtId="3" fontId="9" fillId="0" borderId="1" xfId="0" applyNumberFormat="1" applyFont="1" applyBorder="1" applyAlignment="1">
      <alignment shrinkToFit="1"/>
    </xf>
    <xf numFmtId="3" fontId="9" fillId="0" borderId="3" xfId="0" applyNumberFormat="1" applyFont="1" applyBorder="1" applyAlignment="1">
      <alignment shrinkToFit="1"/>
    </xf>
    <xf numFmtId="9" fontId="10" fillId="0" borderId="5" xfId="0" applyNumberFormat="1" applyFont="1" applyBorder="1" applyAlignment="1">
      <alignment shrinkToFit="1"/>
    </xf>
    <xf numFmtId="9" fontId="10" fillId="0" borderId="6" xfId="0" applyNumberFormat="1" applyFont="1" applyBorder="1" applyAlignment="1">
      <alignment shrinkToFit="1"/>
    </xf>
    <xf numFmtId="9" fontId="10" fillId="0" borderId="0" xfId="0" applyNumberFormat="1" applyFont="1" applyAlignment="1">
      <alignment shrinkToFit="1"/>
    </xf>
    <xf numFmtId="0" fontId="9" fillId="0" borderId="41" xfId="0" applyFont="1" applyBorder="1" applyAlignment="1">
      <alignment shrinkToFit="1"/>
    </xf>
    <xf numFmtId="3" fontId="9" fillId="0" borderId="28" xfId="0" applyNumberFormat="1" applyFont="1" applyBorder="1" applyAlignment="1">
      <alignment shrinkToFit="1"/>
    </xf>
    <xf numFmtId="3" fontId="9" fillId="0" borderId="29" xfId="0" applyNumberFormat="1" applyFont="1" applyBorder="1" applyAlignment="1">
      <alignment shrinkToFit="1"/>
    </xf>
    <xf numFmtId="9" fontId="10" fillId="0" borderId="1" xfId="0" applyNumberFormat="1" applyFont="1" applyBorder="1" applyAlignment="1">
      <alignment shrinkToFit="1"/>
    </xf>
    <xf numFmtId="9" fontId="10" fillId="0" borderId="3" xfId="0" applyNumberFormat="1" applyFont="1" applyBorder="1" applyAlignment="1">
      <alignment shrinkToFit="1"/>
    </xf>
    <xf numFmtId="169" fontId="9" fillId="0" borderId="5" xfId="0" applyNumberFormat="1" applyFont="1" applyBorder="1" applyAlignment="1">
      <alignment shrinkToFit="1"/>
    </xf>
    <xf numFmtId="169" fontId="9" fillId="0" borderId="6" xfId="0" applyNumberFormat="1" applyFont="1" applyBorder="1" applyAlignment="1">
      <alignment shrinkToFit="1"/>
    </xf>
    <xf numFmtId="0" fontId="8" fillId="0" borderId="36" xfId="0" applyFont="1" applyBorder="1" applyAlignment="1">
      <alignment horizontal="center" shrinkToFit="1"/>
    </xf>
    <xf numFmtId="0" fontId="8" fillId="0" borderId="25" xfId="0" applyFont="1" applyBorder="1" applyAlignment="1">
      <alignment horizontal="center" shrinkToFit="1"/>
    </xf>
    <xf numFmtId="0" fontId="8" fillId="0" borderId="26" xfId="0" applyFont="1" applyBorder="1" applyAlignment="1">
      <alignment horizontal="center" shrinkToFit="1"/>
    </xf>
    <xf numFmtId="6" fontId="10" fillId="0" borderId="5" xfId="0" applyNumberFormat="1" applyFont="1" applyBorder="1" applyAlignment="1">
      <alignment shrinkToFit="1"/>
    </xf>
    <xf numFmtId="6" fontId="10" fillId="0" borderId="6" xfId="0" applyNumberFormat="1" applyFont="1" applyBorder="1" applyAlignment="1">
      <alignment shrinkToFit="1"/>
    </xf>
    <xf numFmtId="167" fontId="10" fillId="0" borderId="5" xfId="0" applyNumberFormat="1" applyFont="1" applyBorder="1" applyAlignment="1">
      <alignment shrinkToFit="1"/>
    </xf>
    <xf numFmtId="167" fontId="10" fillId="0" borderId="6" xfId="0" applyNumberFormat="1" applyFont="1" applyBorder="1" applyAlignment="1">
      <alignment shrinkToFit="1"/>
    </xf>
    <xf numFmtId="167" fontId="9" fillId="0" borderId="0" xfId="0" applyNumberFormat="1" applyFont="1" applyAlignment="1">
      <alignment shrinkToFit="1"/>
    </xf>
    <xf numFmtId="0" fontId="9" fillId="0" borderId="1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37" xfId="0" applyFont="1" applyBorder="1" applyAlignment="1">
      <alignment shrinkToFit="1"/>
    </xf>
    <xf numFmtId="6" fontId="9" fillId="0" borderId="8" xfId="0" applyNumberFormat="1" applyFont="1" applyBorder="1" applyAlignment="1">
      <alignment horizontal="right" shrinkToFit="1"/>
    </xf>
    <xf numFmtId="6" fontId="9" fillId="0" borderId="9" xfId="0" applyNumberFormat="1" applyFont="1" applyBorder="1" applyAlignment="1">
      <alignment horizontal="right" shrinkToFit="1"/>
    </xf>
    <xf numFmtId="0" fontId="9" fillId="0" borderId="33" xfId="0" applyFont="1" applyBorder="1" applyAlignment="1">
      <alignment shrinkToFit="1"/>
    </xf>
    <xf numFmtId="0" fontId="9" fillId="0" borderId="43" xfId="0" applyFont="1" applyBorder="1" applyAlignment="1">
      <alignment shrinkToFit="1"/>
    </xf>
    <xf numFmtId="6" fontId="9" fillId="0" borderId="34" xfId="0" applyNumberFormat="1" applyFont="1" applyBorder="1" applyAlignment="1">
      <alignment horizontal="right" shrinkToFit="1"/>
    </xf>
    <xf numFmtId="6" fontId="10" fillId="0" borderId="35" xfId="0" applyNumberFormat="1" applyFont="1" applyBorder="1" applyAlignment="1">
      <alignment horizontal="right" shrinkToFit="1"/>
    </xf>
    <xf numFmtId="0" fontId="8" fillId="0" borderId="34" xfId="0" applyFont="1" applyBorder="1" applyAlignment="1">
      <alignment horizontal="center" shrinkToFit="1"/>
    </xf>
    <xf numFmtId="0" fontId="8" fillId="0" borderId="35" xfId="0" applyFont="1" applyBorder="1" applyAlignment="1">
      <alignment horizontal="center" shrinkToFit="1"/>
    </xf>
    <xf numFmtId="6" fontId="10" fillId="0" borderId="0" xfId="0" applyNumberFormat="1" applyFont="1" applyAlignment="1">
      <alignment shrinkToFit="1"/>
    </xf>
    <xf numFmtId="6" fontId="9" fillId="0" borderId="1" xfId="0" applyNumberFormat="1" applyFont="1" applyBorder="1" applyAlignment="1">
      <alignment horizontal="center" shrinkToFit="1"/>
    </xf>
    <xf numFmtId="6" fontId="9" fillId="0" borderId="3" xfId="0" applyNumberFormat="1" applyFont="1" applyBorder="1" applyAlignment="1">
      <alignment horizontal="center" shrinkToFit="1"/>
    </xf>
    <xf numFmtId="6" fontId="9" fillId="0" borderId="28" xfId="0" applyNumberFormat="1" applyFont="1" applyBorder="1" applyAlignment="1">
      <alignment horizontal="center" shrinkToFit="1"/>
    </xf>
    <xf numFmtId="6" fontId="9" fillId="0" borderId="29" xfId="0" applyNumberFormat="1" applyFont="1" applyBorder="1" applyAlignment="1">
      <alignment horizontal="center" shrinkToFit="1"/>
    </xf>
    <xf numFmtId="177" fontId="9" fillId="0" borderId="28" xfId="0" applyNumberFormat="1" applyFont="1" applyBorder="1" applyAlignment="1">
      <alignment horizontal="center" shrinkToFit="1"/>
    </xf>
    <xf numFmtId="177" fontId="9" fillId="0" borderId="29" xfId="0" applyNumberFormat="1" applyFont="1" applyBorder="1" applyAlignment="1">
      <alignment horizontal="center" shrinkToFit="1"/>
    </xf>
    <xf numFmtId="9" fontId="9" fillId="0" borderId="28" xfId="0" applyNumberFormat="1" applyFont="1" applyBorder="1" applyAlignment="1">
      <alignment horizontal="center" shrinkToFit="1"/>
    </xf>
    <xf numFmtId="9" fontId="9" fillId="0" borderId="29" xfId="0" applyNumberFormat="1" applyFont="1" applyBorder="1" applyAlignment="1">
      <alignment horizontal="center" shrinkToFit="1"/>
    </xf>
    <xf numFmtId="6" fontId="9" fillId="0" borderId="28" xfId="0" applyNumberFormat="1" applyFont="1" applyBorder="1" applyAlignment="1">
      <alignment horizontal="right" shrinkToFit="1"/>
    </xf>
    <xf numFmtId="6" fontId="9" fillId="0" borderId="29" xfId="0" applyNumberFormat="1" applyFont="1" applyBorder="1" applyAlignment="1">
      <alignment horizontal="right" shrinkToFit="1"/>
    </xf>
    <xf numFmtId="6" fontId="9" fillId="0" borderId="5" xfId="0" applyNumberFormat="1" applyFont="1" applyBorder="1" applyAlignment="1">
      <alignment horizontal="right" shrinkToFit="1"/>
    </xf>
    <xf numFmtId="6" fontId="14" fillId="0" borderId="6" xfId="0" applyNumberFormat="1" applyFont="1" applyBorder="1" applyAlignment="1">
      <alignment horizontal="right" shrinkToFit="1"/>
    </xf>
    <xf numFmtId="0" fontId="8" fillId="0" borderId="2" xfId="0" applyFont="1" applyBorder="1" applyAlignment="1">
      <alignment shrinkToFit="1"/>
    </xf>
    <xf numFmtId="0" fontId="8" fillId="0" borderId="38" xfId="0" applyFont="1" applyBorder="1" applyAlignment="1">
      <alignment shrinkToFit="1"/>
    </xf>
    <xf numFmtId="176" fontId="8" fillId="0" borderId="1" xfId="0" applyNumberFormat="1" applyFont="1" applyBorder="1" applyAlignment="1">
      <alignment shrinkToFit="1"/>
    </xf>
    <xf numFmtId="176" fontId="8" fillId="0" borderId="3" xfId="0" applyNumberFormat="1" applyFont="1" applyBorder="1" applyAlignment="1">
      <alignment shrinkToFit="1"/>
    </xf>
    <xf numFmtId="176" fontId="9" fillId="0" borderId="1" xfId="0" applyNumberFormat="1" applyFont="1" applyBorder="1" applyAlignment="1">
      <alignment shrinkToFit="1"/>
    </xf>
    <xf numFmtId="176" fontId="9" fillId="0" borderId="3" xfId="0" applyNumberFormat="1" applyFont="1" applyBorder="1" applyAlignment="1">
      <alignment shrinkToFit="1"/>
    </xf>
    <xf numFmtId="176" fontId="9" fillId="0" borderId="6" xfId="0" applyNumberFormat="1" applyFont="1" applyBorder="1" applyAlignment="1">
      <alignment shrinkToFit="1"/>
    </xf>
    <xf numFmtId="0" fontId="8" fillId="0" borderId="28" xfId="0" applyFont="1" applyBorder="1" applyAlignment="1">
      <alignment horizontal="center" shrinkToFit="1"/>
    </xf>
    <xf numFmtId="0" fontId="8" fillId="0" borderId="29" xfId="0" applyFont="1" applyBorder="1" applyAlignment="1">
      <alignment horizontal="center" shrinkToFit="1"/>
    </xf>
    <xf numFmtId="167" fontId="9" fillId="0" borderId="2" xfId="0" applyNumberFormat="1" applyFont="1" applyBorder="1" applyAlignment="1">
      <alignment shrinkToFit="1"/>
    </xf>
    <xf numFmtId="167" fontId="9" fillId="0" borderId="38" xfId="0" applyNumberFormat="1" applyFont="1" applyBorder="1" applyAlignment="1">
      <alignment shrinkToFit="1"/>
    </xf>
    <xf numFmtId="167" fontId="16" fillId="0" borderId="2" xfId="0" applyNumberFormat="1" applyFont="1" applyBorder="1" applyAlignment="1">
      <alignment shrinkToFit="1"/>
    </xf>
    <xf numFmtId="167" fontId="16" fillId="0" borderId="38" xfId="0" applyNumberFormat="1" applyFont="1" applyBorder="1" applyAlignment="1">
      <alignment shrinkToFit="1"/>
    </xf>
    <xf numFmtId="6" fontId="16" fillId="0" borderId="1" xfId="0" applyNumberFormat="1" applyFont="1" applyBorder="1" applyAlignment="1">
      <alignment shrinkToFit="1"/>
    </xf>
    <xf numFmtId="6" fontId="16" fillId="0" borderId="3" xfId="0" applyNumberFormat="1" applyFont="1" applyBorder="1" applyAlignment="1">
      <alignment shrinkToFit="1"/>
    </xf>
    <xf numFmtId="0" fontId="9" fillId="0" borderId="24" xfId="0" applyFont="1" applyBorder="1" applyAlignment="1">
      <alignment shrinkToFit="1"/>
    </xf>
    <xf numFmtId="6" fontId="9" fillId="0" borderId="44" xfId="0" applyNumberFormat="1" applyFont="1" applyBorder="1" applyAlignment="1">
      <alignment horizontal="center"/>
    </xf>
    <xf numFmtId="170" fontId="9" fillId="0" borderId="0" xfId="0" applyNumberFormat="1" applyFont="1"/>
    <xf numFmtId="176" fontId="9" fillId="0" borderId="0" xfId="0" applyNumberFormat="1" applyFont="1"/>
    <xf numFmtId="179" fontId="9" fillId="0" borderId="0" xfId="0" applyNumberFormat="1" applyFont="1"/>
    <xf numFmtId="0" fontId="8" fillId="0" borderId="46" xfId="0" applyFont="1" applyBorder="1" applyAlignment="1">
      <alignment horizontal="center"/>
    </xf>
    <xf numFmtId="167" fontId="9" fillId="0" borderId="42" xfId="0" applyNumberFormat="1" applyFont="1" applyBorder="1"/>
    <xf numFmtId="10" fontId="10" fillId="0" borderId="47" xfId="0" applyNumberFormat="1" applyFont="1" applyBorder="1"/>
    <xf numFmtId="10" fontId="10" fillId="0" borderId="48" xfId="0" applyNumberFormat="1" applyFont="1" applyBorder="1"/>
    <xf numFmtId="170" fontId="9" fillId="0" borderId="42" xfId="0" applyNumberFormat="1" applyFont="1" applyBorder="1"/>
    <xf numFmtId="171" fontId="9" fillId="0" borderId="42" xfId="0" applyNumberFormat="1" applyFont="1" applyBorder="1"/>
    <xf numFmtId="171" fontId="10" fillId="0" borderId="47" xfId="0" applyNumberFormat="1" applyFont="1" applyBorder="1"/>
    <xf numFmtId="0" fontId="9" fillId="0" borderId="42" xfId="0" applyFont="1" applyBorder="1"/>
    <xf numFmtId="173" fontId="9" fillId="0" borderId="42" xfId="0" applyNumberFormat="1" applyFont="1" applyBorder="1"/>
    <xf numFmtId="173" fontId="10" fillId="0" borderId="47" xfId="0" applyNumberFormat="1" applyFont="1" applyBorder="1"/>
    <xf numFmtId="169" fontId="9" fillId="0" borderId="42" xfId="0" applyNumberFormat="1" applyFont="1" applyBorder="1"/>
    <xf numFmtId="6" fontId="9" fillId="0" borderId="47" xfId="0" applyNumberFormat="1" applyFont="1" applyBorder="1"/>
    <xf numFmtId="6" fontId="9" fillId="0" borderId="42" xfId="0" applyNumberFormat="1" applyFont="1" applyBorder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10" fillId="0" borderId="0" xfId="0" applyNumberFormat="1" applyFont="1"/>
    <xf numFmtId="171" fontId="9" fillId="0" borderId="0" xfId="0" applyNumberFormat="1" applyFont="1"/>
    <xf numFmtId="171" fontId="10" fillId="0" borderId="0" xfId="0" applyNumberFormat="1" applyFont="1"/>
    <xf numFmtId="173" fontId="9" fillId="0" borderId="0" xfId="0" applyNumberFormat="1" applyFont="1"/>
    <xf numFmtId="173" fontId="10" fillId="0" borderId="0" xfId="0" applyNumberFormat="1" applyFont="1"/>
    <xf numFmtId="9" fontId="9" fillId="0" borderId="42" xfId="0" applyNumberFormat="1" applyFont="1" applyBorder="1"/>
    <xf numFmtId="171" fontId="10" fillId="0" borderId="48" xfId="0" applyNumberFormat="1" applyFont="1" applyBorder="1"/>
    <xf numFmtId="0" fontId="8" fillId="0" borderId="42" xfId="0" applyFont="1" applyBorder="1"/>
    <xf numFmtId="167" fontId="12" fillId="0" borderId="42" xfId="0" applyNumberFormat="1" applyFont="1" applyBorder="1"/>
    <xf numFmtId="167" fontId="12" fillId="0" borderId="47" xfId="0" applyNumberFormat="1" applyFont="1" applyBorder="1"/>
    <xf numFmtId="6" fontId="16" fillId="0" borderId="42" xfId="0" applyNumberFormat="1" applyFont="1" applyBorder="1"/>
    <xf numFmtId="169" fontId="10" fillId="0" borderId="48" xfId="0" applyNumberFormat="1" applyFont="1" applyBorder="1"/>
    <xf numFmtId="6" fontId="12" fillId="0" borderId="42" xfId="0" applyNumberFormat="1" applyFont="1" applyBorder="1"/>
    <xf numFmtId="6" fontId="12" fillId="0" borderId="49" xfId="0" applyNumberFormat="1" applyFont="1" applyBorder="1"/>
    <xf numFmtId="176" fontId="8" fillId="0" borderId="42" xfId="0" applyNumberFormat="1" applyFont="1" applyBorder="1"/>
    <xf numFmtId="176" fontId="11" fillId="0" borderId="42" xfId="0" applyNumberFormat="1" applyFont="1" applyBorder="1"/>
    <xf numFmtId="176" fontId="12" fillId="0" borderId="42" xfId="0" applyNumberFormat="1" applyFont="1" applyBorder="1"/>
    <xf numFmtId="176" fontId="12" fillId="0" borderId="47" xfId="0" applyNumberFormat="1" applyFont="1" applyBorder="1"/>
    <xf numFmtId="6" fontId="9" fillId="0" borderId="46" xfId="0" applyNumberFormat="1" applyFont="1" applyBorder="1" applyAlignment="1">
      <alignment horizontal="right"/>
    </xf>
    <xf numFmtId="178" fontId="8" fillId="0" borderId="49" xfId="0" applyNumberFormat="1" applyFont="1" applyBorder="1" applyAlignment="1">
      <alignment horizontal="center"/>
    </xf>
    <xf numFmtId="0" fontId="9" fillId="0" borderId="42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14" fontId="8" fillId="0" borderId="42" xfId="0" applyNumberFormat="1" applyFont="1" applyBorder="1" applyAlignment="1">
      <alignment horizontal="center"/>
    </xf>
    <xf numFmtId="6" fontId="9" fillId="2" borderId="42" xfId="0" applyNumberFormat="1" applyFont="1" applyFill="1" applyBorder="1"/>
    <xf numFmtId="169" fontId="9" fillId="0" borderId="47" xfId="0" applyNumberFormat="1" applyFont="1" applyBorder="1"/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173" fontId="10" fillId="0" borderId="3" xfId="0" applyNumberFormat="1" applyFont="1" applyBorder="1" applyAlignment="1">
      <alignment horizontal="center" vertical="center"/>
    </xf>
    <xf numFmtId="173" fontId="10" fillId="0" borderId="6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shrinkToFit="1"/>
    </xf>
    <xf numFmtId="0" fontId="8" fillId="0" borderId="36" xfId="0" applyFont="1" applyBorder="1" applyAlignment="1">
      <alignment horizontal="center" shrinkToFit="1"/>
    </xf>
    <xf numFmtId="0" fontId="8" fillId="0" borderId="25" xfId="0" applyFont="1" applyBorder="1" applyAlignment="1">
      <alignment horizontal="center" shrinkToFit="1"/>
    </xf>
    <xf numFmtId="0" fontId="8" fillId="0" borderId="26" xfId="0" applyFont="1" applyBorder="1" applyAlignment="1">
      <alignment horizontal="center" shrinkToFit="1"/>
    </xf>
    <xf numFmtId="0" fontId="13" fillId="0" borderId="22" xfId="0" applyFont="1" applyBorder="1" applyAlignment="1">
      <alignment horizontal="center" vertical="center" shrinkToFit="1"/>
    </xf>
    <xf numFmtId="0" fontId="9" fillId="0" borderId="2" xfId="0" applyFont="1" applyFill="1" applyBorder="1"/>
    <xf numFmtId="172" fontId="9" fillId="0" borderId="1" xfId="0" applyNumberFormat="1" applyFont="1" applyFill="1" applyBorder="1"/>
    <xf numFmtId="172" fontId="9" fillId="0" borderId="3" xfId="0" applyNumberFormat="1" applyFont="1" applyFill="1" applyBorder="1"/>
    <xf numFmtId="172" fontId="9" fillId="0" borderId="42" xfId="0" applyNumberFormat="1" applyFont="1" applyFill="1" applyBorder="1"/>
    <xf numFmtId="9" fontId="9" fillId="0" borderId="1" xfId="0" applyNumberFormat="1" applyFont="1" applyFill="1" applyBorder="1"/>
    <xf numFmtId="9" fontId="9" fillId="0" borderId="3" xfId="0" applyNumberFormat="1" applyFont="1" applyFill="1" applyBorder="1"/>
    <xf numFmtId="175" fontId="9" fillId="0" borderId="1" xfId="0" applyNumberFormat="1" applyFont="1" applyFill="1" applyBorder="1"/>
    <xf numFmtId="175" fontId="9" fillId="0" borderId="3" xfId="0" applyNumberFormat="1" applyFont="1" applyFill="1" applyBorder="1"/>
    <xf numFmtId="175" fontId="9" fillId="0" borderId="42" xfId="0" applyNumberFormat="1" applyFont="1" applyFill="1" applyBorder="1"/>
    <xf numFmtId="3" fontId="9" fillId="0" borderId="1" xfId="0" applyNumberFormat="1" applyFont="1" applyFill="1" applyBorder="1"/>
    <xf numFmtId="3" fontId="9" fillId="0" borderId="3" xfId="0" applyNumberFormat="1" applyFont="1" applyFill="1" applyBorder="1"/>
    <xf numFmtId="0" fontId="10" fillId="0" borderId="4" xfId="0" applyFont="1" applyFill="1" applyBorder="1"/>
    <xf numFmtId="9" fontId="10" fillId="0" borderId="5" xfId="0" applyNumberFormat="1" applyFont="1" applyFill="1" applyBorder="1"/>
    <xf numFmtId="9" fontId="10" fillId="0" borderId="6" xfId="0" applyNumberFormat="1" applyFont="1" applyFill="1" applyBorder="1"/>
    <xf numFmtId="0" fontId="8" fillId="0" borderId="24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3" xfId="0" applyFont="1" applyFill="1" applyBorder="1"/>
    <xf numFmtId="0" fontId="8" fillId="0" borderId="42" xfId="0" applyFont="1" applyFill="1" applyBorder="1"/>
    <xf numFmtId="0" fontId="9" fillId="0" borderId="38" xfId="0" applyFont="1" applyFill="1" applyBorder="1"/>
    <xf numFmtId="3" fontId="9" fillId="0" borderId="42" xfId="0" applyNumberFormat="1" applyFont="1" applyFill="1" applyBorder="1"/>
    <xf numFmtId="176" fontId="8" fillId="0" borderId="42" xfId="0" applyNumberFormat="1" applyFont="1" applyFill="1" applyBorder="1"/>
    <xf numFmtId="0" fontId="8" fillId="0" borderId="45" xfId="0" applyFont="1" applyBorder="1" applyAlignment="1">
      <alignment horizontal="center" shrinkToFit="1"/>
    </xf>
    <xf numFmtId="0" fontId="8" fillId="0" borderId="42" xfId="0" applyFont="1" applyBorder="1" applyAlignment="1">
      <alignment horizontal="center" shrinkToFit="1"/>
    </xf>
    <xf numFmtId="6" fontId="9" fillId="0" borderId="42" xfId="0" applyNumberFormat="1" applyFont="1" applyBorder="1" applyAlignment="1">
      <alignment shrinkToFit="1"/>
    </xf>
    <xf numFmtId="6" fontId="10" fillId="0" borderId="47" xfId="0" applyNumberFormat="1" applyFont="1" applyBorder="1" applyAlignment="1">
      <alignment shrinkToFit="1"/>
    </xf>
    <xf numFmtId="167" fontId="9" fillId="0" borderId="42" xfId="0" applyNumberFormat="1" applyFont="1" applyBorder="1" applyAlignment="1">
      <alignment shrinkToFit="1"/>
    </xf>
    <xf numFmtId="167" fontId="10" fillId="0" borderId="47" xfId="0" applyNumberFormat="1" applyFont="1" applyBorder="1" applyAlignment="1">
      <alignment shrinkToFit="1"/>
    </xf>
    <xf numFmtId="6" fontId="9" fillId="0" borderId="47" xfId="0" applyNumberFormat="1" applyFont="1" applyBorder="1" applyAlignment="1">
      <alignment shrinkToFit="1"/>
    </xf>
    <xf numFmtId="6" fontId="9" fillId="0" borderId="50" xfId="0" applyNumberFormat="1" applyFont="1" applyBorder="1" applyAlignment="1">
      <alignment horizontal="right" shrinkToFit="1"/>
    </xf>
    <xf numFmtId="0" fontId="8" fillId="0" borderId="50" xfId="0" applyFont="1" applyBorder="1" applyAlignment="1">
      <alignment horizontal="center" shrinkToFit="1"/>
    </xf>
    <xf numFmtId="6" fontId="9" fillId="0" borderId="42" xfId="0" applyNumberFormat="1" applyFont="1" applyBorder="1" applyAlignment="1">
      <alignment horizontal="center" shrinkToFit="1"/>
    </xf>
    <xf numFmtId="6" fontId="9" fillId="0" borderId="49" xfId="0" applyNumberFormat="1" applyFont="1" applyBorder="1" applyAlignment="1">
      <alignment horizontal="center" shrinkToFit="1"/>
    </xf>
    <xf numFmtId="177" fontId="9" fillId="0" borderId="49" xfId="0" applyNumberFormat="1" applyFont="1" applyBorder="1" applyAlignment="1">
      <alignment horizontal="center" shrinkToFit="1"/>
    </xf>
    <xf numFmtId="9" fontId="9" fillId="0" borderId="49" xfId="0" applyNumberFormat="1" applyFont="1" applyBorder="1" applyAlignment="1">
      <alignment horizontal="center" shrinkToFit="1"/>
    </xf>
    <xf numFmtId="168" fontId="9" fillId="0" borderId="0" xfId="0" applyNumberFormat="1" applyFont="1"/>
    <xf numFmtId="6" fontId="14" fillId="0" borderId="32" xfId="0" applyNumberFormat="1" applyFont="1" applyBorder="1" applyAlignment="1">
      <alignment horizontal="right" shrinkToFit="1"/>
    </xf>
    <xf numFmtId="8" fontId="9" fillId="0" borderId="0" xfId="0" applyNumberFormat="1" applyFont="1"/>
    <xf numFmtId="8" fontId="9" fillId="0" borderId="4" xfId="0" applyNumberFormat="1" applyFont="1" applyBorder="1" applyAlignment="1">
      <alignment shrinkToFit="1"/>
    </xf>
    <xf numFmtId="6" fontId="9" fillId="0" borderId="51" xfId="0" applyNumberFormat="1" applyFont="1" applyBorder="1" applyAlignment="1">
      <alignment shrinkToFit="1"/>
    </xf>
    <xf numFmtId="6" fontId="9" fillId="0" borderId="13" xfId="0" applyNumberFormat="1" applyFont="1" applyBorder="1" applyAlignment="1">
      <alignment shrinkToFit="1"/>
    </xf>
    <xf numFmtId="6" fontId="9" fillId="0" borderId="18" xfId="0" applyNumberFormat="1" applyFont="1" applyBorder="1" applyAlignment="1">
      <alignment shrinkToFit="1"/>
    </xf>
    <xf numFmtId="6" fontId="9" fillId="0" borderId="50" xfId="0" applyNumberFormat="1" applyFont="1" applyBorder="1" applyAlignment="1">
      <alignment shrinkToFit="1"/>
    </xf>
    <xf numFmtId="6" fontId="9" fillId="0" borderId="22" xfId="0" applyNumberFormat="1" applyFont="1" applyBorder="1" applyAlignment="1">
      <alignment shrinkToFit="1"/>
    </xf>
    <xf numFmtId="6" fontId="9" fillId="0" borderId="23" xfId="0" applyNumberFormat="1" applyFont="1" applyBorder="1" applyAlignment="1">
      <alignment shrinkToFit="1"/>
    </xf>
    <xf numFmtId="8" fontId="19" fillId="0" borderId="4" xfId="0" applyNumberFormat="1" applyFont="1" applyBorder="1" applyAlignment="1">
      <alignment shrinkToFit="1"/>
    </xf>
    <xf numFmtId="0" fontId="8" fillId="0" borderId="52" xfId="0" applyFont="1" applyBorder="1" applyAlignment="1">
      <alignment horizontal="center" shrinkToFit="1"/>
    </xf>
    <xf numFmtId="0" fontId="8" fillId="0" borderId="53" xfId="0" applyFont="1" applyBorder="1" applyAlignment="1">
      <alignment horizontal="center" shrinkToFit="1"/>
    </xf>
    <xf numFmtId="0" fontId="8" fillId="0" borderId="54" xfId="0" applyFont="1" applyBorder="1" applyAlignment="1">
      <alignment horizontal="center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0D17-2B26-47C0-BA94-607B55D04C42}">
  <dimension ref="A1:N211"/>
  <sheetViews>
    <sheetView workbookViewId="0">
      <selection activeCell="H34" sqref="H34"/>
    </sheetView>
  </sheetViews>
  <sheetFormatPr defaultRowHeight="14.4" x14ac:dyDescent="0.3"/>
  <cols>
    <col min="4" max="4" width="25" customWidth="1"/>
    <col min="6" max="6" width="53.33203125" customWidth="1"/>
  </cols>
  <sheetData>
    <row r="1" spans="1:13" x14ac:dyDescent="0.3">
      <c r="A1" s="43" t="s">
        <v>118</v>
      </c>
      <c r="B1" s="43" t="s">
        <v>119</v>
      </c>
      <c r="C1" s="43" t="s">
        <v>120</v>
      </c>
      <c r="D1" s="43" t="s">
        <v>121</v>
      </c>
      <c r="E1" s="43" t="s">
        <v>122</v>
      </c>
      <c r="F1" s="43" t="s">
        <v>123</v>
      </c>
      <c r="G1" s="43" t="s">
        <v>124</v>
      </c>
      <c r="H1" s="43" t="s">
        <v>260</v>
      </c>
      <c r="I1" s="43" t="s">
        <v>125</v>
      </c>
      <c r="K1" s="43" t="s">
        <v>128</v>
      </c>
      <c r="L1" s="43"/>
      <c r="M1" s="43"/>
    </row>
    <row r="2" spans="1:13" x14ac:dyDescent="0.3">
      <c r="A2">
        <v>248266</v>
      </c>
      <c r="B2" s="44" t="s">
        <v>129</v>
      </c>
      <c r="C2" s="44" t="s">
        <v>130</v>
      </c>
      <c r="D2" s="44" t="s">
        <v>131</v>
      </c>
      <c r="E2" s="44" t="s">
        <v>132</v>
      </c>
      <c r="F2" s="44" t="s">
        <v>153</v>
      </c>
      <c r="G2" s="44" t="s">
        <v>154</v>
      </c>
      <c r="H2" s="44" t="s">
        <v>132</v>
      </c>
      <c r="I2">
        <v>0.02</v>
      </c>
      <c r="K2">
        <v>0</v>
      </c>
      <c r="L2" t="s">
        <v>321</v>
      </c>
    </row>
    <row r="3" spans="1:13" x14ac:dyDescent="0.3">
      <c r="A3">
        <v>248266</v>
      </c>
      <c r="B3" s="44" t="s">
        <v>129</v>
      </c>
      <c r="C3" s="44" t="s">
        <v>130</v>
      </c>
      <c r="D3" s="44" t="s">
        <v>131</v>
      </c>
      <c r="E3" s="44" t="s">
        <v>132</v>
      </c>
      <c r="F3" s="44" t="s">
        <v>155</v>
      </c>
      <c r="G3" s="44" t="s">
        <v>156</v>
      </c>
      <c r="H3" s="44" t="s">
        <v>132</v>
      </c>
      <c r="I3">
        <v>0.01</v>
      </c>
      <c r="K3">
        <v>0</v>
      </c>
      <c r="L3" t="s">
        <v>321</v>
      </c>
    </row>
    <row r="4" spans="1:13" x14ac:dyDescent="0.3">
      <c r="A4">
        <v>248266</v>
      </c>
      <c r="B4" s="44" t="s">
        <v>129</v>
      </c>
      <c r="C4" s="44" t="s">
        <v>130</v>
      </c>
      <c r="D4" s="44" t="s">
        <v>131</v>
      </c>
      <c r="E4" s="44" t="s">
        <v>132</v>
      </c>
      <c r="F4" s="44" t="s">
        <v>133</v>
      </c>
      <c r="G4" s="44" t="s">
        <v>134</v>
      </c>
      <c r="H4" s="44" t="s">
        <v>132</v>
      </c>
      <c r="I4">
        <v>0.38300000000000001</v>
      </c>
      <c r="K4">
        <v>2771</v>
      </c>
      <c r="L4" t="s">
        <v>321</v>
      </c>
    </row>
    <row r="5" spans="1:13" x14ac:dyDescent="0.3">
      <c r="A5">
        <v>248266</v>
      </c>
      <c r="B5" s="44" t="s">
        <v>129</v>
      </c>
      <c r="C5" s="44" t="s">
        <v>130</v>
      </c>
      <c r="D5" s="44" t="s">
        <v>131</v>
      </c>
      <c r="E5" s="44" t="s">
        <v>132</v>
      </c>
      <c r="F5" s="44" t="s">
        <v>135</v>
      </c>
      <c r="G5" s="44" t="s">
        <v>136</v>
      </c>
      <c r="H5" s="44" t="s">
        <v>132</v>
      </c>
      <c r="I5">
        <v>9.5000000000000001E-2</v>
      </c>
      <c r="K5">
        <v>80.83</v>
      </c>
      <c r="L5" t="s">
        <v>322</v>
      </c>
    </row>
    <row r="6" spans="1:13" x14ac:dyDescent="0.3">
      <c r="A6">
        <v>248266</v>
      </c>
      <c r="B6" s="44" t="s">
        <v>129</v>
      </c>
      <c r="C6" s="44" t="s">
        <v>130</v>
      </c>
      <c r="D6" s="44" t="s">
        <v>131</v>
      </c>
      <c r="E6" s="44" t="s">
        <v>132</v>
      </c>
      <c r="F6" s="44" t="s">
        <v>135</v>
      </c>
      <c r="G6" s="44" t="s">
        <v>159</v>
      </c>
      <c r="H6" s="44" t="s">
        <v>132</v>
      </c>
      <c r="I6">
        <v>0.06</v>
      </c>
      <c r="K6">
        <v>54.6</v>
      </c>
      <c r="L6" t="s">
        <v>322</v>
      </c>
    </row>
    <row r="7" spans="1:13" x14ac:dyDescent="0.3">
      <c r="A7">
        <v>248266</v>
      </c>
      <c r="B7" s="44" t="s">
        <v>129</v>
      </c>
      <c r="C7" s="44" t="s">
        <v>130</v>
      </c>
      <c r="D7" s="44" t="s">
        <v>131</v>
      </c>
      <c r="E7" s="44" t="s">
        <v>132</v>
      </c>
      <c r="F7" s="44" t="s">
        <v>137</v>
      </c>
      <c r="G7" s="44" t="s">
        <v>138</v>
      </c>
      <c r="H7" s="44" t="s">
        <v>241</v>
      </c>
      <c r="I7">
        <v>0.44</v>
      </c>
      <c r="K7">
        <v>1463</v>
      </c>
      <c r="L7" t="s">
        <v>322</v>
      </c>
    </row>
    <row r="8" spans="1:13" x14ac:dyDescent="0.3">
      <c r="A8">
        <v>248266</v>
      </c>
      <c r="B8" s="44" t="s">
        <v>129</v>
      </c>
      <c r="C8" s="44" t="s">
        <v>130</v>
      </c>
      <c r="D8" s="44" t="s">
        <v>131</v>
      </c>
      <c r="E8" s="44" t="s">
        <v>132</v>
      </c>
      <c r="F8" s="44" t="s">
        <v>139</v>
      </c>
      <c r="G8" s="44" t="s">
        <v>140</v>
      </c>
      <c r="H8" s="44" t="s">
        <v>132</v>
      </c>
      <c r="I8">
        <v>1.37</v>
      </c>
      <c r="K8">
        <v>1459.05</v>
      </c>
      <c r="L8" t="s">
        <v>322</v>
      </c>
    </row>
    <row r="9" spans="1:13" x14ac:dyDescent="0.3">
      <c r="A9">
        <v>248266</v>
      </c>
      <c r="B9" s="44" t="s">
        <v>129</v>
      </c>
      <c r="C9" s="44" t="s">
        <v>130</v>
      </c>
      <c r="D9" s="44" t="s">
        <v>131</v>
      </c>
      <c r="E9" s="44" t="s">
        <v>132</v>
      </c>
      <c r="F9" s="44" t="s">
        <v>141</v>
      </c>
      <c r="G9" s="44" t="s">
        <v>142</v>
      </c>
      <c r="H9" s="44" t="s">
        <v>132</v>
      </c>
      <c r="I9">
        <v>26.582000000000001</v>
      </c>
      <c r="K9">
        <v>13291</v>
      </c>
      <c r="L9" t="s">
        <v>321</v>
      </c>
    </row>
    <row r="10" spans="1:13" x14ac:dyDescent="0.3">
      <c r="A10">
        <v>248266</v>
      </c>
      <c r="B10" s="44" t="s">
        <v>129</v>
      </c>
      <c r="C10" s="44" t="s">
        <v>130</v>
      </c>
      <c r="D10" s="44" t="s">
        <v>131</v>
      </c>
      <c r="E10" s="44" t="s">
        <v>132</v>
      </c>
      <c r="F10" s="44" t="s">
        <v>143</v>
      </c>
      <c r="G10" s="44" t="s">
        <v>144</v>
      </c>
      <c r="H10" s="44" t="s">
        <v>132</v>
      </c>
      <c r="I10">
        <v>4.5250000000000004</v>
      </c>
      <c r="K10">
        <v>1895.43</v>
      </c>
      <c r="L10" t="s">
        <v>322</v>
      </c>
    </row>
    <row r="11" spans="1:13" x14ac:dyDescent="0.3">
      <c r="A11">
        <v>248266</v>
      </c>
      <c r="B11" s="44" t="s">
        <v>129</v>
      </c>
      <c r="C11" s="44" t="s">
        <v>130</v>
      </c>
      <c r="D11" s="44" t="s">
        <v>131</v>
      </c>
      <c r="E11" s="44" t="s">
        <v>132</v>
      </c>
      <c r="F11" s="44" t="s">
        <v>145</v>
      </c>
      <c r="G11" s="44" t="s">
        <v>146</v>
      </c>
      <c r="H11" s="44" t="s">
        <v>132</v>
      </c>
      <c r="I11">
        <v>169.45</v>
      </c>
      <c r="K11">
        <v>67780</v>
      </c>
      <c r="L11" t="s">
        <v>322</v>
      </c>
    </row>
    <row r="12" spans="1:13" x14ac:dyDescent="0.3">
      <c r="A12">
        <v>248266</v>
      </c>
      <c r="B12" s="44" t="s">
        <v>129</v>
      </c>
      <c r="C12" s="44" t="s">
        <v>130</v>
      </c>
      <c r="D12" s="44" t="s">
        <v>131</v>
      </c>
      <c r="E12" s="44" t="s">
        <v>132</v>
      </c>
      <c r="F12" s="44" t="s">
        <v>145</v>
      </c>
      <c r="G12" s="44" t="s">
        <v>146</v>
      </c>
      <c r="H12" s="44" t="s">
        <v>132</v>
      </c>
      <c r="I12">
        <v>0.18</v>
      </c>
      <c r="K12">
        <v>72</v>
      </c>
      <c r="L12" t="s">
        <v>322</v>
      </c>
    </row>
    <row r="13" spans="1:13" x14ac:dyDescent="0.3">
      <c r="A13">
        <v>248266</v>
      </c>
      <c r="B13" s="44" t="s">
        <v>129</v>
      </c>
      <c r="C13" s="44" t="s">
        <v>130</v>
      </c>
      <c r="D13" s="44" t="s">
        <v>131</v>
      </c>
      <c r="E13" s="44" t="s">
        <v>132</v>
      </c>
      <c r="F13" s="44" t="s">
        <v>147</v>
      </c>
      <c r="G13" s="44" t="s">
        <v>148</v>
      </c>
      <c r="H13" s="44" t="s">
        <v>132</v>
      </c>
      <c r="I13">
        <v>167.48500000000001</v>
      </c>
      <c r="K13">
        <v>315006</v>
      </c>
      <c r="L13" t="s">
        <v>323</v>
      </c>
    </row>
    <row r="14" spans="1:13" x14ac:dyDescent="0.3">
      <c r="A14" s="44" t="s">
        <v>259</v>
      </c>
      <c r="B14" s="44" t="s">
        <v>129</v>
      </c>
      <c r="C14" s="44" t="s">
        <v>130</v>
      </c>
      <c r="D14" s="44" t="s">
        <v>258</v>
      </c>
      <c r="E14" s="44" t="s">
        <v>132</v>
      </c>
      <c r="F14" s="44" t="s">
        <v>135</v>
      </c>
      <c r="G14" s="44" t="s">
        <v>159</v>
      </c>
      <c r="H14" s="44" t="s">
        <v>132</v>
      </c>
      <c r="I14">
        <v>0.02</v>
      </c>
      <c r="K14">
        <v>0</v>
      </c>
      <c r="L14" t="s">
        <v>321</v>
      </c>
    </row>
    <row r="15" spans="1:13" x14ac:dyDescent="0.3">
      <c r="A15" s="44" t="s">
        <v>259</v>
      </c>
      <c r="B15" s="44" t="s">
        <v>129</v>
      </c>
      <c r="C15" s="44" t="s">
        <v>130</v>
      </c>
      <c r="D15" s="44" t="s">
        <v>258</v>
      </c>
      <c r="E15" s="44" t="s">
        <v>132</v>
      </c>
      <c r="F15" s="44" t="s">
        <v>141</v>
      </c>
      <c r="G15" s="44" t="s">
        <v>142</v>
      </c>
      <c r="H15" s="44" t="s">
        <v>132</v>
      </c>
      <c r="I15">
        <v>0.16</v>
      </c>
      <c r="K15">
        <v>80</v>
      </c>
      <c r="L15" t="s">
        <v>321</v>
      </c>
    </row>
    <row r="16" spans="1:13" x14ac:dyDescent="0.3">
      <c r="A16" s="44" t="s">
        <v>259</v>
      </c>
      <c r="B16" s="44" t="s">
        <v>129</v>
      </c>
      <c r="C16" s="44" t="s">
        <v>130</v>
      </c>
      <c r="D16" s="44" t="s">
        <v>258</v>
      </c>
      <c r="E16" s="44" t="s">
        <v>132</v>
      </c>
      <c r="F16" s="44" t="s">
        <v>145</v>
      </c>
      <c r="G16" s="44" t="s">
        <v>146</v>
      </c>
      <c r="H16" s="44" t="s">
        <v>132</v>
      </c>
      <c r="I16">
        <v>3.34</v>
      </c>
      <c r="K16">
        <v>1336</v>
      </c>
      <c r="L16" t="s">
        <v>322</v>
      </c>
    </row>
    <row r="17" spans="1:13" ht="15" thickBot="1" x14ac:dyDescent="0.35">
      <c r="A17" s="44" t="s">
        <v>259</v>
      </c>
      <c r="B17" s="44" t="s">
        <v>129</v>
      </c>
      <c r="C17" s="44" t="s">
        <v>130</v>
      </c>
      <c r="D17" s="44" t="s">
        <v>258</v>
      </c>
      <c r="E17" s="44" t="s">
        <v>132</v>
      </c>
      <c r="F17" s="44" t="s">
        <v>147</v>
      </c>
      <c r="G17" s="44" t="s">
        <v>148</v>
      </c>
      <c r="H17" s="44" t="s">
        <v>132</v>
      </c>
      <c r="I17">
        <v>2.83</v>
      </c>
      <c r="K17">
        <v>5660</v>
      </c>
      <c r="L17" t="s">
        <v>323</v>
      </c>
    </row>
    <row r="18" spans="1:13" ht="15" thickBot="1" x14ac:dyDescent="0.35">
      <c r="A18" s="45"/>
      <c r="B18" s="46"/>
      <c r="C18" s="46"/>
      <c r="D18" s="47" t="s">
        <v>131</v>
      </c>
      <c r="E18" s="46"/>
      <c r="F18" s="46"/>
      <c r="G18" s="46"/>
      <c r="H18" s="46"/>
      <c r="I18" s="46">
        <f>SUM(I2:I17)</f>
        <v>376.95</v>
      </c>
      <c r="J18" s="46"/>
      <c r="K18" s="48">
        <f>SUM(K2:K17)</f>
        <v>410948.91000000003</v>
      </c>
      <c r="M18" s="43" t="s">
        <v>149</v>
      </c>
    </row>
    <row r="19" spans="1:13" x14ac:dyDescent="0.3">
      <c r="A19" s="43"/>
      <c r="B19" s="43"/>
      <c r="C19" s="43"/>
      <c r="D19" s="49"/>
      <c r="E19" s="43"/>
      <c r="F19" s="43"/>
      <c r="G19" s="43"/>
      <c r="H19" s="43"/>
      <c r="I19" s="43"/>
      <c r="J19" s="43"/>
      <c r="K19" s="43"/>
    </row>
    <row r="20" spans="1:13" x14ac:dyDescent="0.3">
      <c r="A20" s="43"/>
      <c r="B20" s="43"/>
      <c r="C20" s="43"/>
      <c r="D20" s="49"/>
      <c r="E20" s="43"/>
      <c r="F20" s="43"/>
      <c r="G20" s="43"/>
      <c r="H20" s="43"/>
      <c r="I20" s="43"/>
      <c r="J20" s="43"/>
      <c r="K20" s="43"/>
    </row>
    <row r="21" spans="1:13" x14ac:dyDescent="0.3">
      <c r="A21" s="44" t="s">
        <v>257</v>
      </c>
    </row>
    <row r="22" spans="1:13" x14ac:dyDescent="0.3">
      <c r="A22" s="44" t="s">
        <v>98</v>
      </c>
      <c r="B22" s="44" t="s">
        <v>98</v>
      </c>
      <c r="C22" s="44" t="s">
        <v>151</v>
      </c>
      <c r="D22" s="44" t="s">
        <v>152</v>
      </c>
      <c r="E22" s="44" t="s">
        <v>132</v>
      </c>
      <c r="F22" s="44" t="s">
        <v>220</v>
      </c>
      <c r="G22" s="44" t="s">
        <v>221</v>
      </c>
      <c r="H22" s="44" t="s">
        <v>132</v>
      </c>
      <c r="I22">
        <v>7.0000000000000007E-2</v>
      </c>
      <c r="K22">
        <v>631.75</v>
      </c>
      <c r="L22" t="s">
        <v>323</v>
      </c>
    </row>
    <row r="23" spans="1:13" x14ac:dyDescent="0.3">
      <c r="A23" s="44" t="s">
        <v>98</v>
      </c>
      <c r="B23" s="44" t="s">
        <v>98</v>
      </c>
      <c r="C23" s="44" t="s">
        <v>151</v>
      </c>
      <c r="D23" s="44" t="s">
        <v>152</v>
      </c>
      <c r="E23" s="44" t="s">
        <v>132</v>
      </c>
      <c r="F23" s="44" t="s">
        <v>153</v>
      </c>
      <c r="G23" s="44" t="s">
        <v>154</v>
      </c>
      <c r="H23" s="44" t="s">
        <v>132</v>
      </c>
      <c r="I23">
        <v>0.15</v>
      </c>
      <c r="K23">
        <v>0</v>
      </c>
      <c r="L23" t="s">
        <v>321</v>
      </c>
    </row>
    <row r="24" spans="1:13" x14ac:dyDescent="0.3">
      <c r="A24" s="44" t="s">
        <v>98</v>
      </c>
      <c r="B24" s="44" t="s">
        <v>98</v>
      </c>
      <c r="C24" s="44" t="s">
        <v>151</v>
      </c>
      <c r="D24" s="44" t="s">
        <v>152</v>
      </c>
      <c r="E24" s="44" t="s">
        <v>132</v>
      </c>
      <c r="F24" s="44" t="s">
        <v>155</v>
      </c>
      <c r="G24" s="44" t="s">
        <v>156</v>
      </c>
      <c r="H24" s="44" t="s">
        <v>132</v>
      </c>
      <c r="I24">
        <v>0.30499999999999999</v>
      </c>
      <c r="K24">
        <v>1220</v>
      </c>
      <c r="L24" t="s">
        <v>321</v>
      </c>
    </row>
    <row r="25" spans="1:13" x14ac:dyDescent="0.3">
      <c r="A25" s="44" t="s">
        <v>98</v>
      </c>
      <c r="B25" s="44" t="s">
        <v>98</v>
      </c>
      <c r="C25" s="44" t="s">
        <v>151</v>
      </c>
      <c r="D25" s="44" t="s">
        <v>152</v>
      </c>
      <c r="E25" s="44" t="s">
        <v>132</v>
      </c>
      <c r="F25" s="44" t="s">
        <v>133</v>
      </c>
      <c r="G25" s="44" t="s">
        <v>134</v>
      </c>
      <c r="H25" s="44" t="s">
        <v>132</v>
      </c>
      <c r="I25">
        <v>0.38800000000000001</v>
      </c>
      <c r="K25">
        <v>2785</v>
      </c>
      <c r="L25" t="s">
        <v>321</v>
      </c>
    </row>
    <row r="26" spans="1:13" x14ac:dyDescent="0.3">
      <c r="A26" s="44" t="s">
        <v>98</v>
      </c>
      <c r="B26" s="44" t="s">
        <v>98</v>
      </c>
      <c r="C26" s="44" t="s">
        <v>151</v>
      </c>
      <c r="D26" s="44" t="s">
        <v>152</v>
      </c>
      <c r="E26" s="44" t="s">
        <v>132</v>
      </c>
      <c r="F26" s="44" t="s">
        <v>135</v>
      </c>
      <c r="G26" s="44" t="s">
        <v>136</v>
      </c>
      <c r="H26" s="44" t="s">
        <v>132</v>
      </c>
      <c r="I26">
        <v>0.16200000000000001</v>
      </c>
      <c r="K26">
        <v>135.28</v>
      </c>
      <c r="L26" t="s">
        <v>322</v>
      </c>
    </row>
    <row r="27" spans="1:13" x14ac:dyDescent="0.3">
      <c r="A27" s="44" t="s">
        <v>98</v>
      </c>
      <c r="B27" s="44" t="s">
        <v>98</v>
      </c>
      <c r="C27" s="44" t="s">
        <v>151</v>
      </c>
      <c r="D27" s="44" t="s">
        <v>152</v>
      </c>
      <c r="E27" s="44" t="s">
        <v>132</v>
      </c>
      <c r="F27" s="44" t="s">
        <v>135</v>
      </c>
      <c r="G27" s="44" t="s">
        <v>159</v>
      </c>
      <c r="H27" s="44" t="s">
        <v>132</v>
      </c>
      <c r="I27">
        <v>1.53</v>
      </c>
      <c r="K27">
        <v>1188.8</v>
      </c>
      <c r="L27" t="s">
        <v>322</v>
      </c>
    </row>
    <row r="28" spans="1:13" x14ac:dyDescent="0.3">
      <c r="A28" s="44" t="s">
        <v>98</v>
      </c>
      <c r="B28" s="44" t="s">
        <v>98</v>
      </c>
      <c r="C28" s="44" t="s">
        <v>151</v>
      </c>
      <c r="D28" s="44" t="s">
        <v>152</v>
      </c>
      <c r="E28" s="44" t="s">
        <v>132</v>
      </c>
      <c r="F28" s="44" t="s">
        <v>137</v>
      </c>
      <c r="G28" s="44" t="s">
        <v>138</v>
      </c>
      <c r="H28" s="44" t="s">
        <v>241</v>
      </c>
      <c r="I28">
        <v>25.67</v>
      </c>
      <c r="K28">
        <v>85342.25</v>
      </c>
      <c r="L28" t="s">
        <v>322</v>
      </c>
    </row>
    <row r="29" spans="1:13" x14ac:dyDescent="0.3">
      <c r="A29" s="44" t="s">
        <v>98</v>
      </c>
      <c r="B29" s="44" t="s">
        <v>98</v>
      </c>
      <c r="C29" s="44" t="s">
        <v>151</v>
      </c>
      <c r="D29" s="44" t="s">
        <v>152</v>
      </c>
      <c r="E29" s="44" t="s">
        <v>132</v>
      </c>
      <c r="F29" s="44" t="s">
        <v>139</v>
      </c>
      <c r="G29" s="44" t="s">
        <v>140</v>
      </c>
      <c r="H29" s="44" t="s">
        <v>132</v>
      </c>
      <c r="I29">
        <v>45.725000000000001</v>
      </c>
      <c r="K29">
        <v>90205.43</v>
      </c>
      <c r="L29" t="s">
        <v>322</v>
      </c>
    </row>
    <row r="30" spans="1:13" x14ac:dyDescent="0.3">
      <c r="A30" s="44" t="s">
        <v>98</v>
      </c>
      <c r="B30" s="44" t="s">
        <v>98</v>
      </c>
      <c r="C30" s="44" t="s">
        <v>151</v>
      </c>
      <c r="D30" s="44" t="s">
        <v>152</v>
      </c>
      <c r="E30" s="44" t="s">
        <v>132</v>
      </c>
      <c r="F30" s="44" t="s">
        <v>141</v>
      </c>
      <c r="G30" s="44" t="s">
        <v>142</v>
      </c>
      <c r="H30" s="44" t="s">
        <v>132</v>
      </c>
      <c r="I30">
        <v>29.56</v>
      </c>
      <c r="K30">
        <v>14780</v>
      </c>
      <c r="L30" t="s">
        <v>321</v>
      </c>
    </row>
    <row r="31" spans="1:13" x14ac:dyDescent="0.3">
      <c r="A31" s="44" t="s">
        <v>98</v>
      </c>
      <c r="B31" s="44" t="s">
        <v>98</v>
      </c>
      <c r="C31" s="44" t="s">
        <v>151</v>
      </c>
      <c r="D31" s="44" t="s">
        <v>152</v>
      </c>
      <c r="E31" s="44" t="s">
        <v>132</v>
      </c>
      <c r="F31" s="44" t="s">
        <v>157</v>
      </c>
      <c r="G31" s="44" t="s">
        <v>254</v>
      </c>
      <c r="H31" s="44" t="s">
        <v>132</v>
      </c>
      <c r="I31">
        <v>0.2</v>
      </c>
      <c r="K31">
        <v>800</v>
      </c>
      <c r="L31" t="s">
        <v>323</v>
      </c>
    </row>
    <row r="32" spans="1:13" x14ac:dyDescent="0.3">
      <c r="A32" s="44" t="s">
        <v>98</v>
      </c>
      <c r="B32" s="44" t="s">
        <v>98</v>
      </c>
      <c r="C32" s="44" t="s">
        <v>151</v>
      </c>
      <c r="D32" s="44" t="s">
        <v>152</v>
      </c>
      <c r="E32" s="44" t="s">
        <v>132</v>
      </c>
      <c r="F32" s="44" t="s">
        <v>143</v>
      </c>
      <c r="G32" s="44" t="s">
        <v>144</v>
      </c>
      <c r="H32" s="44" t="s">
        <v>132</v>
      </c>
      <c r="I32">
        <v>3.8</v>
      </c>
      <c r="K32">
        <v>2086.15</v>
      </c>
      <c r="L32" t="s">
        <v>322</v>
      </c>
    </row>
    <row r="33" spans="1:13" x14ac:dyDescent="0.3">
      <c r="A33" s="44" t="s">
        <v>98</v>
      </c>
      <c r="B33" s="44" t="s">
        <v>98</v>
      </c>
      <c r="C33" s="44" t="s">
        <v>151</v>
      </c>
      <c r="D33" s="44" t="s">
        <v>152</v>
      </c>
      <c r="E33" s="44" t="s">
        <v>132</v>
      </c>
      <c r="F33" s="44" t="s">
        <v>145</v>
      </c>
      <c r="G33" s="44" t="s">
        <v>146</v>
      </c>
      <c r="H33" s="44" t="s">
        <v>132</v>
      </c>
      <c r="I33">
        <v>2.41</v>
      </c>
      <c r="K33">
        <v>964</v>
      </c>
      <c r="L33" t="s">
        <v>322</v>
      </c>
    </row>
    <row r="34" spans="1:13" ht="15" thickBot="1" x14ac:dyDescent="0.35">
      <c r="A34" s="44" t="s">
        <v>98</v>
      </c>
      <c r="B34" s="44" t="s">
        <v>98</v>
      </c>
      <c r="C34" s="44" t="s">
        <v>151</v>
      </c>
      <c r="D34" s="44" t="s">
        <v>152</v>
      </c>
      <c r="E34" s="44" t="s">
        <v>132</v>
      </c>
      <c r="F34" s="44" t="s">
        <v>147</v>
      </c>
      <c r="G34" s="44" t="s">
        <v>148</v>
      </c>
      <c r="H34" s="44" t="s">
        <v>132</v>
      </c>
      <c r="I34">
        <v>2.3050000000000002</v>
      </c>
      <c r="K34">
        <v>4474.9799999999996</v>
      </c>
      <c r="L34" t="s">
        <v>323</v>
      </c>
    </row>
    <row r="35" spans="1:13" ht="15" thickBot="1" x14ac:dyDescent="0.35">
      <c r="A35" s="45"/>
      <c r="B35" s="46"/>
      <c r="C35" s="46"/>
      <c r="D35" s="47" t="s">
        <v>152</v>
      </c>
      <c r="E35" s="46"/>
      <c r="F35" s="46"/>
      <c r="G35" s="46"/>
      <c r="H35" s="46"/>
      <c r="I35" s="46">
        <f>SUM(I22:I34)</f>
        <v>112.27500000000001</v>
      </c>
      <c r="J35" s="46"/>
      <c r="K35" s="48">
        <f>SUM(K22:K34)</f>
        <v>204613.64</v>
      </c>
      <c r="M35" s="43" t="s">
        <v>149</v>
      </c>
    </row>
    <row r="40" spans="1:13" x14ac:dyDescent="0.3">
      <c r="A40" s="43" t="s">
        <v>160</v>
      </c>
      <c r="B40" s="43"/>
      <c r="C40" s="43"/>
      <c r="D40" s="43"/>
    </row>
    <row r="41" spans="1:13" x14ac:dyDescent="0.3">
      <c r="A41" s="44" t="s">
        <v>98</v>
      </c>
      <c r="B41" s="44" t="s">
        <v>98</v>
      </c>
      <c r="C41" s="44" t="s">
        <v>151</v>
      </c>
      <c r="D41" s="44" t="s">
        <v>163</v>
      </c>
      <c r="E41" s="44" t="s">
        <v>132</v>
      </c>
      <c r="F41" s="44" t="s">
        <v>133</v>
      </c>
      <c r="G41" s="44" t="s">
        <v>134</v>
      </c>
      <c r="H41" s="44" t="s">
        <v>132</v>
      </c>
      <c r="I41">
        <v>0.03</v>
      </c>
      <c r="K41">
        <v>210</v>
      </c>
    </row>
    <row r="42" spans="1:13" x14ac:dyDescent="0.3">
      <c r="A42" s="44" t="s">
        <v>98</v>
      </c>
      <c r="B42" s="44" t="s">
        <v>98</v>
      </c>
      <c r="C42" s="44" t="s">
        <v>151</v>
      </c>
      <c r="D42" s="44" t="s">
        <v>163</v>
      </c>
      <c r="E42" s="44" t="s">
        <v>132</v>
      </c>
      <c r="F42" s="44" t="s">
        <v>137</v>
      </c>
      <c r="G42" s="44" t="s">
        <v>138</v>
      </c>
      <c r="H42" s="44" t="s">
        <v>241</v>
      </c>
      <c r="I42">
        <v>2.2000000000000002</v>
      </c>
      <c r="K42">
        <v>7315</v>
      </c>
    </row>
    <row r="43" spans="1:13" x14ac:dyDescent="0.3">
      <c r="A43" s="44" t="s">
        <v>98</v>
      </c>
      <c r="B43" s="44" t="s">
        <v>98</v>
      </c>
      <c r="C43" s="44" t="s">
        <v>151</v>
      </c>
      <c r="D43" s="44" t="s">
        <v>163</v>
      </c>
      <c r="E43" s="44" t="s">
        <v>132</v>
      </c>
      <c r="F43" s="44" t="s">
        <v>139</v>
      </c>
      <c r="G43" s="44" t="s">
        <v>140</v>
      </c>
      <c r="H43" s="44" t="s">
        <v>132</v>
      </c>
      <c r="I43">
        <v>0.65</v>
      </c>
      <c r="K43">
        <v>1472.45</v>
      </c>
    </row>
    <row r="44" spans="1:13" x14ac:dyDescent="0.3">
      <c r="A44" s="44" t="s">
        <v>98</v>
      </c>
      <c r="B44" s="44" t="s">
        <v>98</v>
      </c>
      <c r="C44" s="44" t="s">
        <v>151</v>
      </c>
      <c r="D44" s="44" t="s">
        <v>163</v>
      </c>
      <c r="E44" s="44" t="s">
        <v>132</v>
      </c>
      <c r="F44" s="44" t="s">
        <v>141</v>
      </c>
      <c r="G44" s="44" t="s">
        <v>142</v>
      </c>
      <c r="H44" s="44" t="s">
        <v>132</v>
      </c>
      <c r="I44">
        <v>0.04</v>
      </c>
      <c r="K44">
        <v>20</v>
      </c>
    </row>
    <row r="45" spans="1:13" x14ac:dyDescent="0.3">
      <c r="A45" s="44" t="s">
        <v>98</v>
      </c>
      <c r="B45" s="44" t="s">
        <v>98</v>
      </c>
      <c r="C45" s="44" t="s">
        <v>151</v>
      </c>
      <c r="D45" s="44" t="s">
        <v>163</v>
      </c>
      <c r="E45" s="44" t="s">
        <v>132</v>
      </c>
      <c r="F45" s="44" t="s">
        <v>147</v>
      </c>
      <c r="G45" s="44" t="s">
        <v>148</v>
      </c>
      <c r="H45" s="44" t="s">
        <v>132</v>
      </c>
      <c r="I45">
        <v>0.13</v>
      </c>
      <c r="K45">
        <v>260</v>
      </c>
    </row>
    <row r="46" spans="1:13" x14ac:dyDescent="0.3">
      <c r="A46" s="44" t="s">
        <v>98</v>
      </c>
      <c r="B46" s="44" t="s">
        <v>98</v>
      </c>
      <c r="C46" s="44" t="s">
        <v>151</v>
      </c>
      <c r="D46" s="44" t="s">
        <v>164</v>
      </c>
      <c r="E46" s="44" t="s">
        <v>132</v>
      </c>
      <c r="F46" s="44" t="s">
        <v>137</v>
      </c>
      <c r="G46" s="44" t="s">
        <v>138</v>
      </c>
      <c r="H46" s="44" t="s">
        <v>241</v>
      </c>
      <c r="I46">
        <v>0.02</v>
      </c>
      <c r="K46">
        <v>66.5</v>
      </c>
    </row>
    <row r="47" spans="1:13" x14ac:dyDescent="0.3">
      <c r="A47" s="44" t="s">
        <v>98</v>
      </c>
      <c r="B47" s="44" t="s">
        <v>98</v>
      </c>
      <c r="C47" s="44" t="s">
        <v>151</v>
      </c>
      <c r="D47" s="44" t="s">
        <v>164</v>
      </c>
      <c r="E47" s="44" t="s">
        <v>132</v>
      </c>
      <c r="F47" s="44" t="s">
        <v>139</v>
      </c>
      <c r="G47" s="44" t="s">
        <v>140</v>
      </c>
      <c r="H47" s="44" t="s">
        <v>132</v>
      </c>
      <c r="I47">
        <v>0.45</v>
      </c>
      <c r="K47">
        <v>612.04999999999995</v>
      </c>
    </row>
    <row r="48" spans="1:13" x14ac:dyDescent="0.3">
      <c r="A48" s="44" t="s">
        <v>98</v>
      </c>
      <c r="B48" s="44" t="s">
        <v>98</v>
      </c>
      <c r="C48" s="44" t="s">
        <v>151</v>
      </c>
      <c r="D48" s="44" t="s">
        <v>164</v>
      </c>
      <c r="E48" s="44" t="s">
        <v>132</v>
      </c>
      <c r="F48" s="44" t="s">
        <v>147</v>
      </c>
      <c r="G48" s="44" t="s">
        <v>148</v>
      </c>
      <c r="H48" s="44" t="s">
        <v>132</v>
      </c>
      <c r="I48">
        <v>0.04</v>
      </c>
      <c r="K48">
        <v>80</v>
      </c>
    </row>
    <row r="49" spans="1:11" x14ac:dyDescent="0.3">
      <c r="A49" s="44" t="s">
        <v>98</v>
      </c>
      <c r="B49" s="44" t="s">
        <v>98</v>
      </c>
      <c r="C49" s="44" t="s">
        <v>151</v>
      </c>
      <c r="D49" s="44" t="s">
        <v>165</v>
      </c>
      <c r="E49" s="44" t="s">
        <v>132</v>
      </c>
      <c r="F49" s="44" t="s">
        <v>133</v>
      </c>
      <c r="G49" s="44" t="s">
        <v>134</v>
      </c>
      <c r="H49" s="44" t="s">
        <v>132</v>
      </c>
      <c r="I49">
        <v>0.06</v>
      </c>
      <c r="K49">
        <v>450</v>
      </c>
    </row>
    <row r="50" spans="1:11" x14ac:dyDescent="0.3">
      <c r="A50" s="44" t="s">
        <v>98</v>
      </c>
      <c r="B50" s="44" t="s">
        <v>98</v>
      </c>
      <c r="C50" s="44" t="s">
        <v>151</v>
      </c>
      <c r="D50" s="44" t="s">
        <v>165</v>
      </c>
      <c r="E50" s="44" t="s">
        <v>132</v>
      </c>
      <c r="F50" s="44" t="s">
        <v>135</v>
      </c>
      <c r="G50" s="44" t="s">
        <v>136</v>
      </c>
      <c r="H50" s="44" t="s">
        <v>132</v>
      </c>
      <c r="I50">
        <v>0.03</v>
      </c>
      <c r="K50">
        <v>25.05</v>
      </c>
    </row>
    <row r="51" spans="1:11" x14ac:dyDescent="0.3">
      <c r="A51" s="44" t="s">
        <v>98</v>
      </c>
      <c r="B51" s="44" t="s">
        <v>98</v>
      </c>
      <c r="C51" s="44" t="s">
        <v>151</v>
      </c>
      <c r="D51" s="44" t="s">
        <v>165</v>
      </c>
      <c r="E51" s="44" t="s">
        <v>132</v>
      </c>
      <c r="F51" s="44" t="s">
        <v>137</v>
      </c>
      <c r="G51" s="44" t="s">
        <v>138</v>
      </c>
      <c r="H51" s="44" t="s">
        <v>241</v>
      </c>
      <c r="I51">
        <v>0.28999999999999998</v>
      </c>
      <c r="K51">
        <v>964.25</v>
      </c>
    </row>
    <row r="52" spans="1:11" x14ac:dyDescent="0.3">
      <c r="A52" s="44" t="s">
        <v>98</v>
      </c>
      <c r="B52" s="44" t="s">
        <v>98</v>
      </c>
      <c r="C52" s="44" t="s">
        <v>151</v>
      </c>
      <c r="D52" s="44" t="s">
        <v>165</v>
      </c>
      <c r="E52" s="44" t="s">
        <v>132</v>
      </c>
      <c r="F52" s="44" t="s">
        <v>139</v>
      </c>
      <c r="G52" s="44" t="s">
        <v>140</v>
      </c>
      <c r="H52" s="44" t="s">
        <v>132</v>
      </c>
      <c r="I52">
        <v>3.31</v>
      </c>
      <c r="K52">
        <v>5517.15</v>
      </c>
    </row>
    <row r="53" spans="1:11" x14ac:dyDescent="0.3">
      <c r="A53" s="44" t="s">
        <v>98</v>
      </c>
      <c r="B53" s="44" t="s">
        <v>98</v>
      </c>
      <c r="C53" s="44" t="s">
        <v>151</v>
      </c>
      <c r="D53" s="44" t="s">
        <v>165</v>
      </c>
      <c r="E53" s="44" t="s">
        <v>132</v>
      </c>
      <c r="F53" s="44" t="s">
        <v>141</v>
      </c>
      <c r="G53" s="44" t="s">
        <v>142</v>
      </c>
      <c r="H53" s="44" t="s">
        <v>132</v>
      </c>
      <c r="I53">
        <v>4.29</v>
      </c>
      <c r="K53">
        <v>2145</v>
      </c>
    </row>
    <row r="54" spans="1:11" x14ac:dyDescent="0.3">
      <c r="A54" s="44" t="s">
        <v>98</v>
      </c>
      <c r="B54" s="44" t="s">
        <v>98</v>
      </c>
      <c r="C54" s="44" t="s">
        <v>151</v>
      </c>
      <c r="D54" s="44" t="s">
        <v>165</v>
      </c>
      <c r="E54" s="44" t="s">
        <v>132</v>
      </c>
      <c r="F54" s="44" t="s">
        <v>143</v>
      </c>
      <c r="G54" s="44" t="s">
        <v>144</v>
      </c>
      <c r="H54" s="44" t="s">
        <v>132</v>
      </c>
      <c r="I54">
        <v>0.3</v>
      </c>
      <c r="K54">
        <v>210.45</v>
      </c>
    </row>
    <row r="55" spans="1:11" x14ac:dyDescent="0.3">
      <c r="A55" s="44" t="s">
        <v>98</v>
      </c>
      <c r="B55" s="44" t="s">
        <v>98</v>
      </c>
      <c r="C55" s="44" t="s">
        <v>151</v>
      </c>
      <c r="D55" s="44" t="s">
        <v>165</v>
      </c>
      <c r="E55" s="44" t="s">
        <v>132</v>
      </c>
      <c r="F55" s="44" t="s">
        <v>147</v>
      </c>
      <c r="G55" s="44" t="s">
        <v>148</v>
      </c>
      <c r="H55" s="44" t="s">
        <v>132</v>
      </c>
      <c r="I55">
        <v>0.99</v>
      </c>
      <c r="K55">
        <v>1980</v>
      </c>
    </row>
    <row r="56" spans="1:11" x14ac:dyDescent="0.3">
      <c r="A56" s="44" t="s">
        <v>98</v>
      </c>
      <c r="B56" s="44" t="s">
        <v>98</v>
      </c>
      <c r="C56" s="44" t="s">
        <v>151</v>
      </c>
      <c r="D56" s="44" t="s">
        <v>166</v>
      </c>
      <c r="E56" s="44" t="s">
        <v>132</v>
      </c>
      <c r="F56" s="44" t="s">
        <v>137</v>
      </c>
      <c r="G56" s="44" t="s">
        <v>138</v>
      </c>
      <c r="H56" s="44" t="s">
        <v>241</v>
      </c>
      <c r="I56">
        <v>1.36</v>
      </c>
      <c r="K56">
        <v>3883</v>
      </c>
    </row>
    <row r="57" spans="1:11" x14ac:dyDescent="0.3">
      <c r="A57" s="44" t="s">
        <v>98</v>
      </c>
      <c r="B57" s="44" t="s">
        <v>98</v>
      </c>
      <c r="C57" s="44" t="s">
        <v>151</v>
      </c>
      <c r="D57" s="44" t="s">
        <v>166</v>
      </c>
      <c r="E57" s="44" t="s">
        <v>132</v>
      </c>
      <c r="F57" s="44" t="s">
        <v>139</v>
      </c>
      <c r="G57" s="44" t="s">
        <v>140</v>
      </c>
      <c r="H57" s="44" t="s">
        <v>132</v>
      </c>
      <c r="I57">
        <v>0.37</v>
      </c>
      <c r="K57">
        <v>1008.25</v>
      </c>
    </row>
    <row r="58" spans="1:11" x14ac:dyDescent="0.3">
      <c r="A58" s="44" t="s">
        <v>98</v>
      </c>
      <c r="B58" s="44" t="s">
        <v>98</v>
      </c>
      <c r="C58" s="44" t="s">
        <v>151</v>
      </c>
      <c r="D58" s="44" t="s">
        <v>168</v>
      </c>
      <c r="E58" s="44" t="s">
        <v>132</v>
      </c>
      <c r="F58" s="44" t="s">
        <v>139</v>
      </c>
      <c r="G58" s="44" t="s">
        <v>140</v>
      </c>
      <c r="H58" s="44" t="s">
        <v>132</v>
      </c>
      <c r="I58">
        <v>2.2599999999999998</v>
      </c>
      <c r="K58">
        <v>5975.9</v>
      </c>
    </row>
    <row r="59" spans="1:11" x14ac:dyDescent="0.3">
      <c r="A59" s="44" t="s">
        <v>98</v>
      </c>
      <c r="B59" s="44" t="s">
        <v>98</v>
      </c>
      <c r="C59" s="44" t="s">
        <v>151</v>
      </c>
      <c r="D59" s="44" t="s">
        <v>168</v>
      </c>
      <c r="E59" s="44" t="s">
        <v>132</v>
      </c>
      <c r="F59" s="44" t="s">
        <v>141</v>
      </c>
      <c r="G59" s="44" t="s">
        <v>142</v>
      </c>
      <c r="H59" s="44" t="s">
        <v>132</v>
      </c>
      <c r="I59">
        <v>0.14000000000000001</v>
      </c>
      <c r="K59">
        <v>70</v>
      </c>
    </row>
    <row r="60" spans="1:11" x14ac:dyDescent="0.3">
      <c r="A60" s="44" t="s">
        <v>98</v>
      </c>
      <c r="B60" s="44" t="s">
        <v>98</v>
      </c>
      <c r="C60" s="44" t="s">
        <v>151</v>
      </c>
      <c r="D60" s="44" t="s">
        <v>168</v>
      </c>
      <c r="E60" s="44" t="s">
        <v>132</v>
      </c>
      <c r="F60" s="44" t="s">
        <v>147</v>
      </c>
      <c r="G60" s="44" t="s">
        <v>148</v>
      </c>
      <c r="H60" s="44" t="s">
        <v>132</v>
      </c>
      <c r="I60">
        <v>0.23</v>
      </c>
      <c r="K60">
        <v>378.4</v>
      </c>
    </row>
    <row r="61" spans="1:11" x14ac:dyDescent="0.3">
      <c r="A61" s="44" t="s">
        <v>98</v>
      </c>
      <c r="B61" s="44" t="s">
        <v>98</v>
      </c>
      <c r="C61" s="44" t="s">
        <v>151</v>
      </c>
      <c r="D61" s="44" t="s">
        <v>169</v>
      </c>
      <c r="E61" s="44" t="s">
        <v>132</v>
      </c>
      <c r="F61" s="44" t="s">
        <v>135</v>
      </c>
      <c r="G61" s="44" t="s">
        <v>136</v>
      </c>
      <c r="H61" s="44" t="s">
        <v>132</v>
      </c>
      <c r="I61">
        <v>0.04</v>
      </c>
      <c r="K61">
        <v>33.4</v>
      </c>
    </row>
    <row r="62" spans="1:11" x14ac:dyDescent="0.3">
      <c r="A62" s="44" t="s">
        <v>98</v>
      </c>
      <c r="B62" s="44" t="s">
        <v>98</v>
      </c>
      <c r="C62" s="44" t="s">
        <v>151</v>
      </c>
      <c r="D62" s="44" t="s">
        <v>169</v>
      </c>
      <c r="E62" s="44" t="s">
        <v>132</v>
      </c>
      <c r="F62" s="44" t="s">
        <v>137</v>
      </c>
      <c r="G62" s="44" t="s">
        <v>138</v>
      </c>
      <c r="H62" s="44" t="s">
        <v>241</v>
      </c>
      <c r="I62">
        <v>1.4</v>
      </c>
      <c r="K62">
        <v>4655</v>
      </c>
    </row>
    <row r="63" spans="1:11" x14ac:dyDescent="0.3">
      <c r="A63" s="44" t="s">
        <v>98</v>
      </c>
      <c r="B63" s="44" t="s">
        <v>98</v>
      </c>
      <c r="C63" s="44" t="s">
        <v>151</v>
      </c>
      <c r="D63" s="44" t="s">
        <v>169</v>
      </c>
      <c r="E63" s="44" t="s">
        <v>132</v>
      </c>
      <c r="F63" s="44" t="s">
        <v>139</v>
      </c>
      <c r="G63" s="44" t="s">
        <v>140</v>
      </c>
      <c r="H63" s="44" t="s">
        <v>132</v>
      </c>
      <c r="I63">
        <v>3.92</v>
      </c>
      <c r="K63">
        <v>9719.2000000000007</v>
      </c>
    </row>
    <row r="64" spans="1:11" x14ac:dyDescent="0.3">
      <c r="A64" s="44" t="s">
        <v>98</v>
      </c>
      <c r="B64" s="44" t="s">
        <v>98</v>
      </c>
      <c r="C64" s="44" t="s">
        <v>151</v>
      </c>
      <c r="D64" s="44" t="s">
        <v>169</v>
      </c>
      <c r="E64" s="44" t="s">
        <v>132</v>
      </c>
      <c r="F64" s="44" t="s">
        <v>141</v>
      </c>
      <c r="G64" s="44" t="s">
        <v>142</v>
      </c>
      <c r="H64" s="44" t="s">
        <v>132</v>
      </c>
      <c r="I64">
        <v>0.2</v>
      </c>
      <c r="K64">
        <v>100</v>
      </c>
    </row>
    <row r="65" spans="1:11" x14ac:dyDescent="0.3">
      <c r="A65" s="44" t="s">
        <v>98</v>
      </c>
      <c r="B65" s="44" t="s">
        <v>98</v>
      </c>
      <c r="C65" s="44" t="s">
        <v>151</v>
      </c>
      <c r="D65" s="44" t="s">
        <v>169</v>
      </c>
      <c r="E65" s="44" t="s">
        <v>132</v>
      </c>
      <c r="F65" s="44" t="s">
        <v>143</v>
      </c>
      <c r="G65" s="44" t="s">
        <v>144</v>
      </c>
      <c r="H65" s="44" t="s">
        <v>132</v>
      </c>
      <c r="I65">
        <v>0.08</v>
      </c>
      <c r="K65">
        <v>32</v>
      </c>
    </row>
    <row r="66" spans="1:11" x14ac:dyDescent="0.3">
      <c r="A66" s="44" t="s">
        <v>98</v>
      </c>
      <c r="B66" s="44" t="s">
        <v>98</v>
      </c>
      <c r="C66" s="44" t="s">
        <v>151</v>
      </c>
      <c r="D66" s="44" t="s">
        <v>169</v>
      </c>
      <c r="E66" s="44" t="s">
        <v>132</v>
      </c>
      <c r="F66" s="44" t="s">
        <v>147</v>
      </c>
      <c r="G66" s="44" t="s">
        <v>148</v>
      </c>
      <c r="H66" s="44" t="s">
        <v>132</v>
      </c>
      <c r="I66">
        <v>0.06</v>
      </c>
      <c r="K66">
        <v>120</v>
      </c>
    </row>
    <row r="67" spans="1:11" x14ac:dyDescent="0.3">
      <c r="A67" s="44" t="s">
        <v>98</v>
      </c>
      <c r="B67" s="44" t="s">
        <v>98</v>
      </c>
      <c r="C67" s="44" t="s">
        <v>151</v>
      </c>
      <c r="D67" s="44" t="s">
        <v>256</v>
      </c>
      <c r="E67" s="44" t="s">
        <v>132</v>
      </c>
      <c r="F67" s="44" t="s">
        <v>137</v>
      </c>
      <c r="G67" s="44" t="s">
        <v>138</v>
      </c>
      <c r="H67" s="44" t="s">
        <v>241</v>
      </c>
      <c r="I67">
        <v>0.03</v>
      </c>
      <c r="K67">
        <v>99.75</v>
      </c>
    </row>
    <row r="68" spans="1:11" x14ac:dyDescent="0.3">
      <c r="A68" s="44" t="s">
        <v>98</v>
      </c>
      <c r="B68" s="44" t="s">
        <v>98</v>
      </c>
      <c r="C68" s="44" t="s">
        <v>151</v>
      </c>
      <c r="D68" s="44" t="s">
        <v>256</v>
      </c>
      <c r="E68" s="44" t="s">
        <v>132</v>
      </c>
      <c r="F68" s="44" t="s">
        <v>143</v>
      </c>
      <c r="G68" s="44" t="s">
        <v>144</v>
      </c>
      <c r="H68" s="44" t="s">
        <v>132</v>
      </c>
      <c r="I68">
        <v>0.2</v>
      </c>
      <c r="K68">
        <v>147</v>
      </c>
    </row>
    <row r="69" spans="1:11" x14ac:dyDescent="0.3">
      <c r="A69" s="44" t="s">
        <v>98</v>
      </c>
      <c r="B69" s="44" t="s">
        <v>98</v>
      </c>
      <c r="C69" s="44" t="s">
        <v>151</v>
      </c>
      <c r="D69" s="44" t="s">
        <v>255</v>
      </c>
      <c r="E69" s="44" t="s">
        <v>132</v>
      </c>
      <c r="F69" s="44" t="s">
        <v>139</v>
      </c>
      <c r="G69" s="44" t="s">
        <v>140</v>
      </c>
      <c r="H69" s="44" t="s">
        <v>132</v>
      </c>
      <c r="I69">
        <v>0.3</v>
      </c>
      <c r="K69">
        <v>319.5</v>
      </c>
    </row>
    <row r="70" spans="1:11" x14ac:dyDescent="0.3">
      <c r="A70" s="44" t="s">
        <v>98</v>
      </c>
      <c r="B70" s="44" t="s">
        <v>98</v>
      </c>
      <c r="C70" s="44" t="s">
        <v>151</v>
      </c>
      <c r="D70" s="44" t="s">
        <v>170</v>
      </c>
      <c r="E70" s="44" t="s">
        <v>132</v>
      </c>
      <c r="F70" s="44" t="s">
        <v>139</v>
      </c>
      <c r="G70" s="44" t="s">
        <v>140</v>
      </c>
      <c r="H70" s="44" t="s">
        <v>132</v>
      </c>
      <c r="I70">
        <v>0.54</v>
      </c>
      <c r="K70">
        <v>1471.5</v>
      </c>
    </row>
    <row r="71" spans="1:11" x14ac:dyDescent="0.3">
      <c r="A71" s="44" t="s">
        <v>98</v>
      </c>
      <c r="B71" s="44" t="s">
        <v>98</v>
      </c>
      <c r="C71" s="44" t="s">
        <v>151</v>
      </c>
      <c r="D71" s="44" t="s">
        <v>170</v>
      </c>
      <c r="E71" s="44" t="s">
        <v>132</v>
      </c>
      <c r="F71" s="44" t="s">
        <v>141</v>
      </c>
      <c r="G71" s="44" t="s">
        <v>142</v>
      </c>
      <c r="H71" s="44" t="s">
        <v>132</v>
      </c>
      <c r="I71">
        <v>1.8</v>
      </c>
      <c r="K71">
        <v>900</v>
      </c>
    </row>
    <row r="72" spans="1:11" x14ac:dyDescent="0.3">
      <c r="A72" s="44" t="s">
        <v>98</v>
      </c>
      <c r="B72" s="44" t="s">
        <v>98</v>
      </c>
      <c r="C72" s="44" t="s">
        <v>151</v>
      </c>
      <c r="D72" s="44" t="s">
        <v>171</v>
      </c>
      <c r="E72" s="44" t="s">
        <v>132</v>
      </c>
      <c r="F72" s="44" t="s">
        <v>135</v>
      </c>
      <c r="G72" s="44" t="s">
        <v>136</v>
      </c>
      <c r="H72" s="44" t="s">
        <v>132</v>
      </c>
      <c r="I72">
        <v>1.4999999999999999E-2</v>
      </c>
      <c r="K72">
        <v>12.53</v>
      </c>
    </row>
    <row r="73" spans="1:11" x14ac:dyDescent="0.3">
      <c r="A73" s="44" t="s">
        <v>98</v>
      </c>
      <c r="B73" s="44" t="s">
        <v>98</v>
      </c>
      <c r="C73" s="44" t="s">
        <v>151</v>
      </c>
      <c r="D73" s="44" t="s">
        <v>171</v>
      </c>
      <c r="E73" s="44" t="s">
        <v>132</v>
      </c>
      <c r="F73" s="44" t="s">
        <v>137</v>
      </c>
      <c r="G73" s="44" t="s">
        <v>138</v>
      </c>
      <c r="H73" s="44" t="s">
        <v>241</v>
      </c>
      <c r="I73">
        <v>4.0599999999999996</v>
      </c>
      <c r="K73">
        <v>13499.5</v>
      </c>
    </row>
    <row r="74" spans="1:11" x14ac:dyDescent="0.3">
      <c r="A74" s="44" t="s">
        <v>98</v>
      </c>
      <c r="B74" s="44" t="s">
        <v>98</v>
      </c>
      <c r="C74" s="44" t="s">
        <v>151</v>
      </c>
      <c r="D74" s="44" t="s">
        <v>171</v>
      </c>
      <c r="E74" s="44" t="s">
        <v>132</v>
      </c>
      <c r="F74" s="44" t="s">
        <v>139</v>
      </c>
      <c r="G74" s="44" t="s">
        <v>140</v>
      </c>
      <c r="H74" s="44" t="s">
        <v>132</v>
      </c>
      <c r="I74">
        <v>7.19</v>
      </c>
      <c r="K74">
        <v>9350.5499999999993</v>
      </c>
    </row>
    <row r="75" spans="1:11" x14ac:dyDescent="0.3">
      <c r="A75" s="44" t="s">
        <v>98</v>
      </c>
      <c r="B75" s="44" t="s">
        <v>98</v>
      </c>
      <c r="C75" s="44" t="s">
        <v>151</v>
      </c>
      <c r="D75" s="44" t="s">
        <v>171</v>
      </c>
      <c r="E75" s="44" t="s">
        <v>132</v>
      </c>
      <c r="F75" s="44" t="s">
        <v>141</v>
      </c>
      <c r="G75" s="44" t="s">
        <v>142</v>
      </c>
      <c r="H75" s="44" t="s">
        <v>132</v>
      </c>
      <c r="I75">
        <v>0.76</v>
      </c>
      <c r="K75">
        <v>380</v>
      </c>
    </row>
    <row r="76" spans="1:11" x14ac:dyDescent="0.3">
      <c r="A76" s="44" t="s">
        <v>98</v>
      </c>
      <c r="B76" s="44" t="s">
        <v>98</v>
      </c>
      <c r="C76" s="44" t="s">
        <v>151</v>
      </c>
      <c r="D76" s="44" t="s">
        <v>171</v>
      </c>
      <c r="E76" s="44" t="s">
        <v>132</v>
      </c>
      <c r="F76" s="44" t="s">
        <v>147</v>
      </c>
      <c r="G76" s="44" t="s">
        <v>148</v>
      </c>
      <c r="H76" s="44" t="s">
        <v>132</v>
      </c>
      <c r="I76">
        <v>0.46500000000000002</v>
      </c>
      <c r="K76">
        <v>855.65</v>
      </c>
    </row>
    <row r="77" spans="1:11" x14ac:dyDescent="0.3">
      <c r="A77" s="44" t="s">
        <v>98</v>
      </c>
      <c r="B77" s="44" t="s">
        <v>98</v>
      </c>
      <c r="C77" s="44" t="s">
        <v>151</v>
      </c>
      <c r="D77" s="44" t="s">
        <v>172</v>
      </c>
      <c r="E77" s="44" t="s">
        <v>132</v>
      </c>
      <c r="F77" s="44" t="s">
        <v>133</v>
      </c>
      <c r="G77" s="44" t="s">
        <v>134</v>
      </c>
      <c r="H77" s="44" t="s">
        <v>132</v>
      </c>
      <c r="I77">
        <v>5.0000000000000001E-3</v>
      </c>
      <c r="K77">
        <v>50</v>
      </c>
    </row>
    <row r="78" spans="1:11" x14ac:dyDescent="0.3">
      <c r="A78" s="44" t="s">
        <v>98</v>
      </c>
      <c r="B78" s="44" t="s">
        <v>98</v>
      </c>
      <c r="C78" s="44" t="s">
        <v>151</v>
      </c>
      <c r="D78" s="44" t="s">
        <v>172</v>
      </c>
      <c r="E78" s="44" t="s">
        <v>132</v>
      </c>
      <c r="F78" s="44" t="s">
        <v>137</v>
      </c>
      <c r="G78" s="44" t="s">
        <v>138</v>
      </c>
      <c r="H78" s="44" t="s">
        <v>241</v>
      </c>
      <c r="I78">
        <v>3.36</v>
      </c>
      <c r="K78">
        <v>11172</v>
      </c>
    </row>
    <row r="79" spans="1:11" x14ac:dyDescent="0.3">
      <c r="A79" s="44" t="s">
        <v>98</v>
      </c>
      <c r="B79" s="44" t="s">
        <v>98</v>
      </c>
      <c r="C79" s="44" t="s">
        <v>151</v>
      </c>
      <c r="D79" s="44" t="s">
        <v>172</v>
      </c>
      <c r="E79" s="44" t="s">
        <v>132</v>
      </c>
      <c r="F79" s="44" t="s">
        <v>139</v>
      </c>
      <c r="G79" s="44" t="s">
        <v>140</v>
      </c>
      <c r="H79" s="44" t="s">
        <v>132</v>
      </c>
      <c r="I79">
        <v>3.01</v>
      </c>
      <c r="K79">
        <v>4334.45</v>
      </c>
    </row>
    <row r="80" spans="1:11" x14ac:dyDescent="0.3">
      <c r="A80" s="44" t="s">
        <v>98</v>
      </c>
      <c r="B80" s="44" t="s">
        <v>98</v>
      </c>
      <c r="C80" s="44" t="s">
        <v>151</v>
      </c>
      <c r="D80" s="44" t="s">
        <v>172</v>
      </c>
      <c r="E80" s="44" t="s">
        <v>132</v>
      </c>
      <c r="F80" s="44" t="s">
        <v>139</v>
      </c>
      <c r="G80" s="44" t="s">
        <v>140</v>
      </c>
      <c r="H80" s="44" t="s">
        <v>132</v>
      </c>
      <c r="I80">
        <v>0.13</v>
      </c>
      <c r="K80">
        <v>138.44999999999999</v>
      </c>
    </row>
    <row r="81" spans="1:11" x14ac:dyDescent="0.3">
      <c r="A81" s="44" t="s">
        <v>98</v>
      </c>
      <c r="B81" s="44" t="s">
        <v>98</v>
      </c>
      <c r="C81" s="44" t="s">
        <v>151</v>
      </c>
      <c r="D81" s="44" t="s">
        <v>172</v>
      </c>
      <c r="E81" s="44" t="s">
        <v>132</v>
      </c>
      <c r="F81" s="44" t="s">
        <v>141</v>
      </c>
      <c r="G81" s="44" t="s">
        <v>142</v>
      </c>
      <c r="H81" s="44" t="s">
        <v>132</v>
      </c>
      <c r="I81">
        <v>1.42</v>
      </c>
      <c r="K81">
        <v>710</v>
      </c>
    </row>
    <row r="82" spans="1:11" x14ac:dyDescent="0.3">
      <c r="A82" s="44" t="s">
        <v>98</v>
      </c>
      <c r="B82" s="44" t="s">
        <v>98</v>
      </c>
      <c r="C82" s="44" t="s">
        <v>151</v>
      </c>
      <c r="D82" s="44" t="s">
        <v>172</v>
      </c>
      <c r="E82" s="44" t="s">
        <v>132</v>
      </c>
      <c r="F82" s="44" t="s">
        <v>143</v>
      </c>
      <c r="G82" s="44" t="s">
        <v>144</v>
      </c>
      <c r="H82" s="44" t="s">
        <v>132</v>
      </c>
      <c r="I82">
        <v>0.72</v>
      </c>
      <c r="K82">
        <v>505.75</v>
      </c>
    </row>
    <row r="83" spans="1:11" x14ac:dyDescent="0.3">
      <c r="A83" s="44" t="s">
        <v>98</v>
      </c>
      <c r="B83" s="44" t="s">
        <v>98</v>
      </c>
      <c r="C83" s="44" t="s">
        <v>151</v>
      </c>
      <c r="D83" s="44" t="s">
        <v>172</v>
      </c>
      <c r="E83" s="44" t="s">
        <v>132</v>
      </c>
      <c r="F83" s="44" t="s">
        <v>147</v>
      </c>
      <c r="G83" s="44" t="s">
        <v>148</v>
      </c>
      <c r="H83" s="44" t="s">
        <v>132</v>
      </c>
      <c r="I83">
        <v>0.41</v>
      </c>
      <c r="K83">
        <v>792</v>
      </c>
    </row>
    <row r="84" spans="1:11" x14ac:dyDescent="0.3">
      <c r="A84" s="44" t="s">
        <v>98</v>
      </c>
      <c r="B84" s="44" t="s">
        <v>98</v>
      </c>
      <c r="C84" s="44" t="s">
        <v>151</v>
      </c>
      <c r="D84" s="44" t="s">
        <v>172</v>
      </c>
      <c r="E84" s="44" t="s">
        <v>132</v>
      </c>
      <c r="F84" s="44" t="s">
        <v>147</v>
      </c>
      <c r="G84" s="44" t="s">
        <v>148</v>
      </c>
      <c r="H84" s="44" t="s">
        <v>132</v>
      </c>
      <c r="I84">
        <v>2.5000000000000001E-2</v>
      </c>
      <c r="K84">
        <v>50</v>
      </c>
    </row>
    <row r="85" spans="1:11" x14ac:dyDescent="0.3">
      <c r="A85" s="44" t="s">
        <v>98</v>
      </c>
      <c r="B85" s="44" t="s">
        <v>98</v>
      </c>
      <c r="C85" s="44" t="s">
        <v>151</v>
      </c>
      <c r="D85" s="44" t="s">
        <v>173</v>
      </c>
      <c r="E85" s="44" t="s">
        <v>132</v>
      </c>
      <c r="F85" s="44" t="s">
        <v>137</v>
      </c>
      <c r="G85" s="44" t="s">
        <v>138</v>
      </c>
      <c r="H85" s="44" t="s">
        <v>241</v>
      </c>
      <c r="I85">
        <v>0.56000000000000005</v>
      </c>
      <c r="K85">
        <v>1862</v>
      </c>
    </row>
    <row r="86" spans="1:11" x14ac:dyDescent="0.3">
      <c r="A86" s="44" t="s">
        <v>98</v>
      </c>
      <c r="B86" s="44" t="s">
        <v>98</v>
      </c>
      <c r="C86" s="44" t="s">
        <v>151</v>
      </c>
      <c r="D86" s="44" t="s">
        <v>173</v>
      </c>
      <c r="E86" s="44" t="s">
        <v>132</v>
      </c>
      <c r="F86" s="44" t="s">
        <v>139</v>
      </c>
      <c r="G86" s="44" t="s">
        <v>140</v>
      </c>
      <c r="H86" s="44" t="s">
        <v>132</v>
      </c>
      <c r="I86">
        <v>0.46</v>
      </c>
      <c r="K86">
        <v>1220.3</v>
      </c>
    </row>
    <row r="87" spans="1:11" x14ac:dyDescent="0.3">
      <c r="A87" s="44" t="s">
        <v>98</v>
      </c>
      <c r="B87" s="44" t="s">
        <v>98</v>
      </c>
      <c r="C87" s="44" t="s">
        <v>151</v>
      </c>
      <c r="D87" s="44" t="s">
        <v>173</v>
      </c>
      <c r="E87" s="44" t="s">
        <v>132</v>
      </c>
      <c r="F87" s="44" t="s">
        <v>141</v>
      </c>
      <c r="G87" s="44" t="s">
        <v>142</v>
      </c>
      <c r="H87" s="44" t="s">
        <v>132</v>
      </c>
      <c r="I87">
        <v>0.38</v>
      </c>
      <c r="K87">
        <v>190</v>
      </c>
    </row>
    <row r="88" spans="1:11" x14ac:dyDescent="0.3">
      <c r="A88" s="44" t="s">
        <v>98</v>
      </c>
      <c r="B88" s="44" t="s">
        <v>98</v>
      </c>
      <c r="C88" s="44" t="s">
        <v>151</v>
      </c>
      <c r="D88" s="44" t="s">
        <v>173</v>
      </c>
      <c r="E88" s="44" t="s">
        <v>132</v>
      </c>
      <c r="F88" s="44" t="s">
        <v>147</v>
      </c>
      <c r="G88" s="44" t="s">
        <v>148</v>
      </c>
      <c r="H88" s="44" t="s">
        <v>132</v>
      </c>
      <c r="I88">
        <v>0.48</v>
      </c>
      <c r="K88">
        <v>960</v>
      </c>
    </row>
    <row r="89" spans="1:11" x14ac:dyDescent="0.3">
      <c r="A89" s="44" t="s">
        <v>98</v>
      </c>
      <c r="B89" s="44" t="s">
        <v>98</v>
      </c>
      <c r="C89" s="44" t="s">
        <v>151</v>
      </c>
      <c r="D89" s="44" t="s">
        <v>174</v>
      </c>
      <c r="E89" s="44" t="s">
        <v>132</v>
      </c>
      <c r="F89" s="44" t="s">
        <v>155</v>
      </c>
      <c r="G89" s="44" t="s">
        <v>156</v>
      </c>
      <c r="H89" s="44" t="s">
        <v>132</v>
      </c>
      <c r="I89">
        <v>0.03</v>
      </c>
      <c r="K89">
        <v>0</v>
      </c>
    </row>
    <row r="90" spans="1:11" x14ac:dyDescent="0.3">
      <c r="A90" s="44" t="s">
        <v>98</v>
      </c>
      <c r="B90" s="44" t="s">
        <v>98</v>
      </c>
      <c r="C90" s="44" t="s">
        <v>151</v>
      </c>
      <c r="D90" s="44" t="s">
        <v>174</v>
      </c>
      <c r="E90" s="44" t="s">
        <v>132</v>
      </c>
      <c r="F90" s="44" t="s">
        <v>139</v>
      </c>
      <c r="G90" s="44" t="s">
        <v>140</v>
      </c>
      <c r="H90" s="44" t="s">
        <v>132</v>
      </c>
      <c r="I90">
        <v>1.41</v>
      </c>
      <c r="K90">
        <v>2115.85</v>
      </c>
    </row>
    <row r="91" spans="1:11" x14ac:dyDescent="0.3">
      <c r="A91" s="44" t="s">
        <v>98</v>
      </c>
      <c r="B91" s="44" t="s">
        <v>98</v>
      </c>
      <c r="C91" s="44" t="s">
        <v>151</v>
      </c>
      <c r="D91" s="44" t="s">
        <v>174</v>
      </c>
      <c r="E91" s="44" t="s">
        <v>132</v>
      </c>
      <c r="F91" s="44" t="s">
        <v>141</v>
      </c>
      <c r="G91" s="44" t="s">
        <v>142</v>
      </c>
      <c r="H91" s="44" t="s">
        <v>132</v>
      </c>
      <c r="I91">
        <v>0.05</v>
      </c>
      <c r="K91">
        <v>25</v>
      </c>
    </row>
    <row r="92" spans="1:11" x14ac:dyDescent="0.3">
      <c r="A92" s="44" t="s">
        <v>98</v>
      </c>
      <c r="B92" s="44" t="s">
        <v>98</v>
      </c>
      <c r="C92" s="44" t="s">
        <v>151</v>
      </c>
      <c r="D92" s="44" t="s">
        <v>174</v>
      </c>
      <c r="E92" s="44" t="s">
        <v>132</v>
      </c>
      <c r="F92" s="44" t="s">
        <v>157</v>
      </c>
      <c r="G92" s="44" t="s">
        <v>254</v>
      </c>
      <c r="H92" s="44" t="s">
        <v>132</v>
      </c>
      <c r="I92">
        <v>0.05</v>
      </c>
      <c r="K92">
        <v>200</v>
      </c>
    </row>
    <row r="93" spans="1:11" x14ac:dyDescent="0.3">
      <c r="A93" s="44" t="s">
        <v>98</v>
      </c>
      <c r="B93" s="44" t="s">
        <v>98</v>
      </c>
      <c r="C93" s="44" t="s">
        <v>151</v>
      </c>
      <c r="D93" s="44" t="s">
        <v>174</v>
      </c>
      <c r="E93" s="44" t="s">
        <v>132</v>
      </c>
      <c r="F93" s="44" t="s">
        <v>147</v>
      </c>
      <c r="G93" s="44" t="s">
        <v>148</v>
      </c>
      <c r="H93" s="44" t="s">
        <v>132</v>
      </c>
      <c r="I93">
        <v>0.05</v>
      </c>
      <c r="K93">
        <v>65</v>
      </c>
    </row>
    <row r="94" spans="1:11" x14ac:dyDescent="0.3">
      <c r="A94" s="44" t="s">
        <v>98</v>
      </c>
      <c r="B94" s="44" t="s">
        <v>98</v>
      </c>
      <c r="C94" s="44" t="s">
        <v>151</v>
      </c>
      <c r="D94" s="44" t="s">
        <v>253</v>
      </c>
      <c r="E94" s="44" t="s">
        <v>132</v>
      </c>
      <c r="F94" s="44" t="s">
        <v>230</v>
      </c>
      <c r="G94" s="44" t="s">
        <v>231</v>
      </c>
      <c r="H94" s="44" t="s">
        <v>132</v>
      </c>
      <c r="I94">
        <v>0.01</v>
      </c>
      <c r="K94">
        <v>0</v>
      </c>
    </row>
    <row r="95" spans="1:11" x14ac:dyDescent="0.3">
      <c r="A95" s="44" t="s">
        <v>98</v>
      </c>
      <c r="B95" s="44" t="s">
        <v>98</v>
      </c>
      <c r="C95" s="44" t="s">
        <v>151</v>
      </c>
      <c r="D95" s="44" t="s">
        <v>253</v>
      </c>
      <c r="E95" s="44" t="s">
        <v>132</v>
      </c>
      <c r="F95" s="44" t="s">
        <v>143</v>
      </c>
      <c r="G95" s="44" t="s">
        <v>144</v>
      </c>
      <c r="H95" s="44" t="s">
        <v>132</v>
      </c>
      <c r="I95">
        <v>0.03</v>
      </c>
      <c r="K95">
        <v>12</v>
      </c>
    </row>
    <row r="96" spans="1:11" x14ac:dyDescent="0.3">
      <c r="A96" s="44" t="s">
        <v>98</v>
      </c>
      <c r="B96" s="44" t="s">
        <v>98</v>
      </c>
      <c r="C96" s="44" t="s">
        <v>151</v>
      </c>
      <c r="D96" s="44" t="s">
        <v>175</v>
      </c>
      <c r="E96" s="44" t="s">
        <v>132</v>
      </c>
      <c r="F96" s="44" t="s">
        <v>137</v>
      </c>
      <c r="G96" s="44" t="s">
        <v>138</v>
      </c>
      <c r="H96" s="44" t="s">
        <v>241</v>
      </c>
      <c r="I96">
        <v>2.2799999999999998</v>
      </c>
      <c r="K96">
        <v>7581</v>
      </c>
    </row>
    <row r="97" spans="1:11" x14ac:dyDescent="0.3">
      <c r="A97" s="44" t="s">
        <v>98</v>
      </c>
      <c r="B97" s="44" t="s">
        <v>98</v>
      </c>
      <c r="C97" s="44" t="s">
        <v>151</v>
      </c>
      <c r="D97" s="44" t="s">
        <v>175</v>
      </c>
      <c r="E97" s="44" t="s">
        <v>132</v>
      </c>
      <c r="F97" s="44" t="s">
        <v>139</v>
      </c>
      <c r="G97" s="44" t="s">
        <v>140</v>
      </c>
      <c r="H97" s="44" t="s">
        <v>132</v>
      </c>
      <c r="I97">
        <v>0.38</v>
      </c>
      <c r="K97">
        <v>603.9</v>
      </c>
    </row>
    <row r="98" spans="1:11" x14ac:dyDescent="0.3">
      <c r="A98" s="44" t="s">
        <v>98</v>
      </c>
      <c r="B98" s="44" t="s">
        <v>98</v>
      </c>
      <c r="C98" s="44" t="s">
        <v>151</v>
      </c>
      <c r="D98" s="44" t="s">
        <v>175</v>
      </c>
      <c r="E98" s="44" t="s">
        <v>132</v>
      </c>
      <c r="F98" s="44" t="s">
        <v>141</v>
      </c>
      <c r="G98" s="44" t="s">
        <v>142</v>
      </c>
      <c r="H98" s="44" t="s">
        <v>132</v>
      </c>
      <c r="I98">
        <v>0.56000000000000005</v>
      </c>
      <c r="K98">
        <v>280</v>
      </c>
    </row>
    <row r="99" spans="1:11" x14ac:dyDescent="0.3">
      <c r="A99" s="44" t="s">
        <v>98</v>
      </c>
      <c r="B99" s="44" t="s">
        <v>98</v>
      </c>
      <c r="C99" s="44" t="s">
        <v>151</v>
      </c>
      <c r="D99" s="44" t="s">
        <v>175</v>
      </c>
      <c r="E99" s="44" t="s">
        <v>132</v>
      </c>
      <c r="F99" s="44" t="s">
        <v>147</v>
      </c>
      <c r="G99" s="44" t="s">
        <v>148</v>
      </c>
      <c r="H99" s="44" t="s">
        <v>132</v>
      </c>
      <c r="I99">
        <v>0.09</v>
      </c>
      <c r="K99">
        <v>180</v>
      </c>
    </row>
    <row r="100" spans="1:11" x14ac:dyDescent="0.3">
      <c r="A100" s="44" t="s">
        <v>98</v>
      </c>
      <c r="B100" s="44" t="s">
        <v>98</v>
      </c>
      <c r="C100" s="44" t="s">
        <v>151</v>
      </c>
      <c r="D100" s="44" t="s">
        <v>179</v>
      </c>
      <c r="E100" s="44" t="s">
        <v>132</v>
      </c>
      <c r="F100" s="44" t="s">
        <v>135</v>
      </c>
      <c r="G100" s="44" t="s">
        <v>136</v>
      </c>
      <c r="H100" s="44" t="s">
        <v>132</v>
      </c>
      <c r="I100">
        <v>2.86E-2</v>
      </c>
      <c r="K100">
        <v>23.88</v>
      </c>
    </row>
    <row r="101" spans="1:11" x14ac:dyDescent="0.3">
      <c r="A101" s="44" t="s">
        <v>98</v>
      </c>
      <c r="B101" s="44" t="s">
        <v>98</v>
      </c>
      <c r="C101" s="44" t="s">
        <v>151</v>
      </c>
      <c r="D101" s="44" t="s">
        <v>179</v>
      </c>
      <c r="E101" s="44" t="s">
        <v>132</v>
      </c>
      <c r="F101" s="44" t="s">
        <v>139</v>
      </c>
      <c r="G101" s="44" t="s">
        <v>140</v>
      </c>
      <c r="H101" s="44" t="s">
        <v>132</v>
      </c>
      <c r="I101">
        <v>3.4</v>
      </c>
      <c r="K101">
        <v>9099</v>
      </c>
    </row>
    <row r="102" spans="1:11" x14ac:dyDescent="0.3">
      <c r="A102" s="44" t="s">
        <v>98</v>
      </c>
      <c r="B102" s="44" t="s">
        <v>98</v>
      </c>
      <c r="C102" s="44" t="s">
        <v>151</v>
      </c>
      <c r="D102" s="44" t="s">
        <v>179</v>
      </c>
      <c r="E102" s="44" t="s">
        <v>132</v>
      </c>
      <c r="F102" s="44" t="s">
        <v>141</v>
      </c>
      <c r="G102" s="44" t="s">
        <v>142</v>
      </c>
      <c r="H102" s="44" t="s">
        <v>132</v>
      </c>
      <c r="I102">
        <v>0.02</v>
      </c>
      <c r="K102">
        <v>10</v>
      </c>
    </row>
    <row r="103" spans="1:11" x14ac:dyDescent="0.3">
      <c r="A103" s="44" t="s">
        <v>98</v>
      </c>
      <c r="B103" s="44" t="s">
        <v>98</v>
      </c>
      <c r="C103" s="44" t="s">
        <v>151</v>
      </c>
      <c r="D103" s="44" t="s">
        <v>179</v>
      </c>
      <c r="E103" s="44" t="s">
        <v>132</v>
      </c>
      <c r="F103" s="44" t="s">
        <v>147</v>
      </c>
      <c r="G103" s="44" t="s">
        <v>148</v>
      </c>
      <c r="H103" s="44" t="s">
        <v>132</v>
      </c>
      <c r="I103">
        <v>0.1014</v>
      </c>
      <c r="K103">
        <v>202.8</v>
      </c>
    </row>
    <row r="104" spans="1:11" x14ac:dyDescent="0.3">
      <c r="A104" s="44" t="s">
        <v>98</v>
      </c>
      <c r="B104" s="44" t="s">
        <v>98</v>
      </c>
      <c r="C104" s="44" t="s">
        <v>151</v>
      </c>
      <c r="D104" s="44" t="s">
        <v>180</v>
      </c>
      <c r="E104" s="44" t="s">
        <v>132</v>
      </c>
      <c r="F104" s="44" t="s">
        <v>139</v>
      </c>
      <c r="G104" s="44" t="s">
        <v>140</v>
      </c>
      <c r="H104" s="44" t="s">
        <v>132</v>
      </c>
      <c r="I104">
        <v>0.27</v>
      </c>
      <c r="K104">
        <v>287.55</v>
      </c>
    </row>
    <row r="105" spans="1:11" x14ac:dyDescent="0.3">
      <c r="A105" s="44" t="s">
        <v>98</v>
      </c>
      <c r="B105" s="44" t="s">
        <v>98</v>
      </c>
      <c r="C105" s="44" t="s">
        <v>151</v>
      </c>
      <c r="D105" s="44" t="s">
        <v>183</v>
      </c>
      <c r="E105" s="44" t="s">
        <v>132</v>
      </c>
      <c r="F105" s="44" t="s">
        <v>137</v>
      </c>
      <c r="G105" s="44" t="s">
        <v>138</v>
      </c>
      <c r="H105" s="44" t="s">
        <v>241</v>
      </c>
      <c r="I105">
        <v>4.37</v>
      </c>
      <c r="K105">
        <v>13171.25</v>
      </c>
    </row>
    <row r="106" spans="1:11" x14ac:dyDescent="0.3">
      <c r="A106" s="44" t="s">
        <v>98</v>
      </c>
      <c r="B106" s="44" t="s">
        <v>98</v>
      </c>
      <c r="C106" s="44" t="s">
        <v>151</v>
      </c>
      <c r="D106" s="44" t="s">
        <v>183</v>
      </c>
      <c r="E106" s="44" t="s">
        <v>132</v>
      </c>
      <c r="F106" s="44" t="s">
        <v>141</v>
      </c>
      <c r="G106" s="44" t="s">
        <v>142</v>
      </c>
      <c r="H106" s="44" t="s">
        <v>132</v>
      </c>
      <c r="I106">
        <v>0.05</v>
      </c>
      <c r="K106">
        <v>25</v>
      </c>
    </row>
    <row r="107" spans="1:11" x14ac:dyDescent="0.3">
      <c r="A107" s="44" t="s">
        <v>98</v>
      </c>
      <c r="B107" s="44" t="s">
        <v>98</v>
      </c>
      <c r="C107" s="44" t="s">
        <v>151</v>
      </c>
      <c r="D107" s="44" t="s">
        <v>183</v>
      </c>
      <c r="E107" s="44" t="s">
        <v>132</v>
      </c>
      <c r="F107" s="44" t="s">
        <v>147</v>
      </c>
      <c r="G107" s="44" t="s">
        <v>148</v>
      </c>
      <c r="H107" s="44" t="s">
        <v>132</v>
      </c>
      <c r="I107">
        <v>0.05</v>
      </c>
      <c r="K107">
        <v>100</v>
      </c>
    </row>
    <row r="108" spans="1:11" x14ac:dyDescent="0.3">
      <c r="A108" s="44" t="s">
        <v>98</v>
      </c>
      <c r="B108" s="44" t="s">
        <v>98</v>
      </c>
      <c r="C108" s="44" t="s">
        <v>151</v>
      </c>
      <c r="D108" s="44" t="s">
        <v>184</v>
      </c>
      <c r="E108" s="44" t="s">
        <v>132</v>
      </c>
      <c r="F108" s="44" t="s">
        <v>139</v>
      </c>
      <c r="G108" s="44" t="s">
        <v>140</v>
      </c>
      <c r="H108" s="44" t="s">
        <v>132</v>
      </c>
      <c r="I108">
        <v>0.74</v>
      </c>
      <c r="K108">
        <v>954.1</v>
      </c>
    </row>
    <row r="109" spans="1:11" x14ac:dyDescent="0.3">
      <c r="A109" s="44" t="s">
        <v>98</v>
      </c>
      <c r="B109" s="44" t="s">
        <v>98</v>
      </c>
      <c r="C109" s="44" t="s">
        <v>151</v>
      </c>
      <c r="D109" s="44" t="s">
        <v>184</v>
      </c>
      <c r="E109" s="44" t="s">
        <v>132</v>
      </c>
      <c r="F109" s="44" t="s">
        <v>141</v>
      </c>
      <c r="G109" s="44" t="s">
        <v>142</v>
      </c>
      <c r="H109" s="44" t="s">
        <v>132</v>
      </c>
      <c r="I109">
        <v>1.1299999999999999</v>
      </c>
      <c r="K109">
        <v>565</v>
      </c>
    </row>
    <row r="110" spans="1:11" x14ac:dyDescent="0.3">
      <c r="A110" s="44" t="s">
        <v>98</v>
      </c>
      <c r="B110" s="44" t="s">
        <v>98</v>
      </c>
      <c r="C110" s="44" t="s">
        <v>151</v>
      </c>
      <c r="D110" s="44" t="s">
        <v>184</v>
      </c>
      <c r="E110" s="44" t="s">
        <v>132</v>
      </c>
      <c r="F110" s="44" t="s">
        <v>143</v>
      </c>
      <c r="G110" s="44" t="s">
        <v>144</v>
      </c>
      <c r="H110" s="44" t="s">
        <v>132</v>
      </c>
      <c r="I110">
        <v>0.15</v>
      </c>
      <c r="K110">
        <v>110.25</v>
      </c>
    </row>
    <row r="111" spans="1:11" x14ac:dyDescent="0.3">
      <c r="A111" s="44" t="s">
        <v>98</v>
      </c>
      <c r="B111" s="44" t="s">
        <v>98</v>
      </c>
      <c r="C111" s="44" t="s">
        <v>151</v>
      </c>
      <c r="D111" s="44" t="s">
        <v>184</v>
      </c>
      <c r="E111" s="44" t="s">
        <v>132</v>
      </c>
      <c r="F111" s="44" t="s">
        <v>147</v>
      </c>
      <c r="G111" s="44" t="s">
        <v>148</v>
      </c>
      <c r="H111" s="44" t="s">
        <v>132</v>
      </c>
      <c r="I111">
        <v>0.06</v>
      </c>
      <c r="K111">
        <v>120</v>
      </c>
    </row>
    <row r="112" spans="1:11" x14ac:dyDescent="0.3">
      <c r="A112" s="44" t="s">
        <v>98</v>
      </c>
      <c r="B112" s="44" t="s">
        <v>98</v>
      </c>
      <c r="C112" s="44" t="s">
        <v>151</v>
      </c>
      <c r="D112" s="44" t="s">
        <v>252</v>
      </c>
      <c r="E112" s="44" t="s">
        <v>132</v>
      </c>
      <c r="F112" s="44" t="s">
        <v>141</v>
      </c>
      <c r="G112" s="44" t="s">
        <v>142</v>
      </c>
      <c r="H112" s="44" t="s">
        <v>132</v>
      </c>
      <c r="I112">
        <v>0.34</v>
      </c>
      <c r="K112">
        <v>170</v>
      </c>
    </row>
    <row r="113" spans="1:11" x14ac:dyDescent="0.3">
      <c r="A113" s="44" t="s">
        <v>98</v>
      </c>
      <c r="B113" s="44" t="s">
        <v>98</v>
      </c>
      <c r="C113" s="44" t="s">
        <v>151</v>
      </c>
      <c r="D113" s="44" t="s">
        <v>185</v>
      </c>
      <c r="E113" s="44" t="s">
        <v>132</v>
      </c>
      <c r="F113" s="44" t="s">
        <v>139</v>
      </c>
      <c r="G113" s="44" t="s">
        <v>140</v>
      </c>
      <c r="H113" s="44" t="s">
        <v>132</v>
      </c>
      <c r="I113">
        <v>0.81</v>
      </c>
      <c r="K113">
        <v>862.65</v>
      </c>
    </row>
    <row r="114" spans="1:11" x14ac:dyDescent="0.3">
      <c r="A114" s="44" t="s">
        <v>98</v>
      </c>
      <c r="B114" s="44" t="s">
        <v>98</v>
      </c>
      <c r="C114" s="44" t="s">
        <v>151</v>
      </c>
      <c r="D114" s="44" t="s">
        <v>185</v>
      </c>
      <c r="E114" s="44" t="s">
        <v>132</v>
      </c>
      <c r="F114" s="44" t="s">
        <v>147</v>
      </c>
      <c r="G114" s="44" t="s">
        <v>148</v>
      </c>
      <c r="H114" s="44" t="s">
        <v>132</v>
      </c>
      <c r="I114">
        <v>0.05</v>
      </c>
      <c r="K114">
        <v>100</v>
      </c>
    </row>
    <row r="115" spans="1:11" x14ac:dyDescent="0.3">
      <c r="A115" s="44" t="s">
        <v>98</v>
      </c>
      <c r="B115" s="44" t="s">
        <v>98</v>
      </c>
      <c r="C115" s="44" t="s">
        <v>151</v>
      </c>
      <c r="D115" s="44" t="s">
        <v>186</v>
      </c>
      <c r="E115" s="44" t="s">
        <v>132</v>
      </c>
      <c r="F115" s="44" t="s">
        <v>133</v>
      </c>
      <c r="G115" s="44" t="s">
        <v>134</v>
      </c>
      <c r="H115" s="44" t="s">
        <v>132</v>
      </c>
      <c r="I115">
        <v>0.09</v>
      </c>
      <c r="K115">
        <v>630</v>
      </c>
    </row>
    <row r="116" spans="1:11" x14ac:dyDescent="0.3">
      <c r="A116" s="44" t="s">
        <v>98</v>
      </c>
      <c r="B116" s="44" t="s">
        <v>98</v>
      </c>
      <c r="C116" s="44" t="s">
        <v>151</v>
      </c>
      <c r="D116" s="44" t="s">
        <v>186</v>
      </c>
      <c r="E116" s="44" t="s">
        <v>132</v>
      </c>
      <c r="F116" s="44" t="s">
        <v>137</v>
      </c>
      <c r="G116" s="44" t="s">
        <v>138</v>
      </c>
      <c r="H116" s="44" t="s">
        <v>241</v>
      </c>
      <c r="I116">
        <v>0.23</v>
      </c>
      <c r="K116">
        <v>764.75</v>
      </c>
    </row>
    <row r="117" spans="1:11" x14ac:dyDescent="0.3">
      <c r="A117" s="44" t="s">
        <v>98</v>
      </c>
      <c r="B117" s="44" t="s">
        <v>98</v>
      </c>
      <c r="C117" s="44" t="s">
        <v>151</v>
      </c>
      <c r="D117" s="44" t="s">
        <v>186</v>
      </c>
      <c r="E117" s="44" t="s">
        <v>132</v>
      </c>
      <c r="F117" s="44" t="s">
        <v>139</v>
      </c>
      <c r="G117" s="44" t="s">
        <v>140</v>
      </c>
      <c r="H117" s="44" t="s">
        <v>132</v>
      </c>
      <c r="I117">
        <v>0.61</v>
      </c>
      <c r="K117">
        <v>699.45</v>
      </c>
    </row>
    <row r="118" spans="1:11" x14ac:dyDescent="0.3">
      <c r="A118" s="44" t="s">
        <v>98</v>
      </c>
      <c r="B118" s="44" t="s">
        <v>98</v>
      </c>
      <c r="C118" s="44" t="s">
        <v>151</v>
      </c>
      <c r="D118" s="44" t="s">
        <v>186</v>
      </c>
      <c r="E118" s="44" t="s">
        <v>132</v>
      </c>
      <c r="F118" s="44" t="s">
        <v>141</v>
      </c>
      <c r="G118" s="44" t="s">
        <v>142</v>
      </c>
      <c r="H118" s="44" t="s">
        <v>132</v>
      </c>
      <c r="I118">
        <v>0.23</v>
      </c>
      <c r="K118">
        <v>115</v>
      </c>
    </row>
    <row r="119" spans="1:11" x14ac:dyDescent="0.3">
      <c r="A119" s="44" t="s">
        <v>98</v>
      </c>
      <c r="B119" s="44" t="s">
        <v>98</v>
      </c>
      <c r="C119" s="44" t="s">
        <v>151</v>
      </c>
      <c r="D119" s="44" t="s">
        <v>186</v>
      </c>
      <c r="E119" s="44" t="s">
        <v>132</v>
      </c>
      <c r="F119" s="44" t="s">
        <v>143</v>
      </c>
      <c r="G119" s="44" t="s">
        <v>144</v>
      </c>
      <c r="H119" s="44" t="s">
        <v>132</v>
      </c>
      <c r="I119">
        <v>0.17</v>
      </c>
      <c r="K119">
        <v>124.95</v>
      </c>
    </row>
    <row r="120" spans="1:11" x14ac:dyDescent="0.3">
      <c r="A120" s="44" t="s">
        <v>98</v>
      </c>
      <c r="B120" s="44" t="s">
        <v>98</v>
      </c>
      <c r="C120" s="44" t="s">
        <v>151</v>
      </c>
      <c r="D120" s="44" t="s">
        <v>186</v>
      </c>
      <c r="E120" s="44" t="s">
        <v>132</v>
      </c>
      <c r="F120" s="44" t="s">
        <v>147</v>
      </c>
      <c r="G120" s="44" t="s">
        <v>148</v>
      </c>
      <c r="H120" s="44" t="s">
        <v>132</v>
      </c>
      <c r="I120">
        <v>0.1</v>
      </c>
      <c r="K120">
        <v>200</v>
      </c>
    </row>
    <row r="121" spans="1:11" x14ac:dyDescent="0.3">
      <c r="A121" s="44" t="s">
        <v>98</v>
      </c>
      <c r="B121" s="44" t="s">
        <v>98</v>
      </c>
      <c r="C121" s="44" t="s">
        <v>151</v>
      </c>
      <c r="D121" s="44" t="s">
        <v>187</v>
      </c>
      <c r="E121" s="44" t="s">
        <v>132</v>
      </c>
      <c r="F121" s="44" t="s">
        <v>139</v>
      </c>
      <c r="G121" s="44" t="s">
        <v>140</v>
      </c>
      <c r="H121" s="44" t="s">
        <v>132</v>
      </c>
      <c r="I121">
        <v>0.02</v>
      </c>
      <c r="K121">
        <v>54.5</v>
      </c>
    </row>
    <row r="122" spans="1:11" x14ac:dyDescent="0.3">
      <c r="A122" s="44" t="s">
        <v>98</v>
      </c>
      <c r="B122" s="44" t="s">
        <v>98</v>
      </c>
      <c r="C122" s="44" t="s">
        <v>151</v>
      </c>
      <c r="D122" s="44" t="s">
        <v>187</v>
      </c>
      <c r="E122" s="44" t="s">
        <v>132</v>
      </c>
      <c r="F122" s="44" t="s">
        <v>143</v>
      </c>
      <c r="G122" s="44" t="s">
        <v>144</v>
      </c>
      <c r="H122" s="44" t="s">
        <v>132</v>
      </c>
      <c r="I122">
        <v>0.13</v>
      </c>
      <c r="K122">
        <v>95.55</v>
      </c>
    </row>
    <row r="123" spans="1:11" x14ac:dyDescent="0.3">
      <c r="A123" s="44" t="s">
        <v>98</v>
      </c>
      <c r="B123" s="44" t="s">
        <v>98</v>
      </c>
      <c r="C123" s="44" t="s">
        <v>151</v>
      </c>
      <c r="D123" s="44" t="s">
        <v>187</v>
      </c>
      <c r="E123" s="44" t="s">
        <v>132</v>
      </c>
      <c r="F123" s="44" t="s">
        <v>147</v>
      </c>
      <c r="G123" s="44" t="s">
        <v>148</v>
      </c>
      <c r="H123" s="44" t="s">
        <v>132</v>
      </c>
      <c r="I123">
        <v>0.1</v>
      </c>
      <c r="K123">
        <v>200</v>
      </c>
    </row>
    <row r="124" spans="1:11" x14ac:dyDescent="0.3">
      <c r="A124" s="44" t="s">
        <v>98</v>
      </c>
      <c r="B124" s="44" t="s">
        <v>98</v>
      </c>
      <c r="C124" s="44" t="s">
        <v>151</v>
      </c>
      <c r="D124" s="44" t="s">
        <v>188</v>
      </c>
      <c r="E124" s="44" t="s">
        <v>132</v>
      </c>
      <c r="F124" s="44" t="s">
        <v>137</v>
      </c>
      <c r="G124" s="44" t="s">
        <v>138</v>
      </c>
      <c r="H124" s="44" t="s">
        <v>241</v>
      </c>
      <c r="I124">
        <v>0.44</v>
      </c>
      <c r="K124">
        <v>1463</v>
      </c>
    </row>
    <row r="125" spans="1:11" x14ac:dyDescent="0.3">
      <c r="A125" s="44" t="s">
        <v>98</v>
      </c>
      <c r="B125" s="44" t="s">
        <v>98</v>
      </c>
      <c r="C125" s="44" t="s">
        <v>151</v>
      </c>
      <c r="D125" s="44" t="s">
        <v>188</v>
      </c>
      <c r="E125" s="44" t="s">
        <v>132</v>
      </c>
      <c r="F125" s="44" t="s">
        <v>139</v>
      </c>
      <c r="G125" s="44" t="s">
        <v>140</v>
      </c>
      <c r="H125" s="44" t="s">
        <v>132</v>
      </c>
      <c r="I125">
        <v>0.61</v>
      </c>
      <c r="K125">
        <v>649.65</v>
      </c>
    </row>
    <row r="126" spans="1:11" x14ac:dyDescent="0.3">
      <c r="A126" s="44" t="s">
        <v>98</v>
      </c>
      <c r="B126" s="44" t="s">
        <v>98</v>
      </c>
      <c r="C126" s="44" t="s">
        <v>151</v>
      </c>
      <c r="D126" s="44" t="s">
        <v>188</v>
      </c>
      <c r="E126" s="44" t="s">
        <v>132</v>
      </c>
      <c r="F126" s="44" t="s">
        <v>143</v>
      </c>
      <c r="G126" s="44" t="s">
        <v>144</v>
      </c>
      <c r="H126" s="44" t="s">
        <v>132</v>
      </c>
      <c r="I126">
        <v>0.09</v>
      </c>
      <c r="K126">
        <v>36</v>
      </c>
    </row>
    <row r="127" spans="1:11" x14ac:dyDescent="0.3">
      <c r="A127" s="44" t="s">
        <v>98</v>
      </c>
      <c r="B127" s="44" t="s">
        <v>98</v>
      </c>
      <c r="C127" s="44" t="s">
        <v>151</v>
      </c>
      <c r="D127" s="44" t="s">
        <v>188</v>
      </c>
      <c r="E127" s="44" t="s">
        <v>132</v>
      </c>
      <c r="F127" s="44" t="s">
        <v>147</v>
      </c>
      <c r="G127" s="44" t="s">
        <v>148</v>
      </c>
      <c r="H127" s="44" t="s">
        <v>132</v>
      </c>
      <c r="I127">
        <v>0.03</v>
      </c>
      <c r="K127">
        <v>60</v>
      </c>
    </row>
    <row r="128" spans="1:11" x14ac:dyDescent="0.3">
      <c r="A128" s="44" t="s">
        <v>98</v>
      </c>
      <c r="B128" s="44" t="s">
        <v>98</v>
      </c>
      <c r="C128" s="44" t="s">
        <v>151</v>
      </c>
      <c r="D128" s="44" t="s">
        <v>251</v>
      </c>
      <c r="E128" s="44" t="s">
        <v>132</v>
      </c>
      <c r="F128" s="44" t="s">
        <v>139</v>
      </c>
      <c r="G128" s="44" t="s">
        <v>140</v>
      </c>
      <c r="H128" s="44" t="s">
        <v>132</v>
      </c>
      <c r="I128">
        <v>0.25</v>
      </c>
      <c r="K128">
        <v>266.25</v>
      </c>
    </row>
    <row r="129" spans="1:13" x14ac:dyDescent="0.3">
      <c r="A129" s="44" t="s">
        <v>98</v>
      </c>
      <c r="B129" s="44" t="s">
        <v>98</v>
      </c>
      <c r="C129" s="44" t="s">
        <v>151</v>
      </c>
      <c r="D129" s="44" t="s">
        <v>189</v>
      </c>
      <c r="E129" s="44" t="s">
        <v>132</v>
      </c>
      <c r="F129" s="44" t="s">
        <v>137</v>
      </c>
      <c r="G129" s="44" t="s">
        <v>138</v>
      </c>
      <c r="H129" s="44" t="s">
        <v>241</v>
      </c>
      <c r="I129">
        <v>0.33</v>
      </c>
      <c r="K129">
        <v>1043.25</v>
      </c>
    </row>
    <row r="130" spans="1:13" x14ac:dyDescent="0.3">
      <c r="A130" s="44" t="s">
        <v>98</v>
      </c>
      <c r="B130" s="44" t="s">
        <v>98</v>
      </c>
      <c r="C130" s="44" t="s">
        <v>151</v>
      </c>
      <c r="D130" s="44" t="s">
        <v>189</v>
      </c>
      <c r="E130" s="44" t="s">
        <v>132</v>
      </c>
      <c r="F130" s="44" t="s">
        <v>141</v>
      </c>
      <c r="G130" s="44" t="s">
        <v>142</v>
      </c>
      <c r="H130" s="44" t="s">
        <v>132</v>
      </c>
      <c r="I130">
        <v>0.06</v>
      </c>
      <c r="K130">
        <v>30</v>
      </c>
    </row>
    <row r="131" spans="1:13" x14ac:dyDescent="0.3">
      <c r="A131" s="44" t="s">
        <v>98</v>
      </c>
      <c r="B131" s="44" t="s">
        <v>98</v>
      </c>
      <c r="C131" s="44" t="s">
        <v>151</v>
      </c>
      <c r="D131" s="44" t="s">
        <v>189</v>
      </c>
      <c r="E131" s="44" t="s">
        <v>132</v>
      </c>
      <c r="F131" s="44" t="s">
        <v>147</v>
      </c>
      <c r="G131" s="44" t="s">
        <v>148</v>
      </c>
      <c r="H131" s="44" t="s">
        <v>132</v>
      </c>
      <c r="I131">
        <v>0.54</v>
      </c>
      <c r="K131">
        <v>1065.5</v>
      </c>
    </row>
    <row r="132" spans="1:13" x14ac:dyDescent="0.3">
      <c r="A132" s="44" t="s">
        <v>98</v>
      </c>
      <c r="B132" s="44" t="s">
        <v>98</v>
      </c>
      <c r="C132" s="44" t="s">
        <v>151</v>
      </c>
      <c r="D132" s="44" t="s">
        <v>190</v>
      </c>
      <c r="E132" s="44" t="s">
        <v>132</v>
      </c>
      <c r="F132" s="44" t="s">
        <v>137</v>
      </c>
      <c r="G132" s="44" t="s">
        <v>138</v>
      </c>
      <c r="H132" s="44" t="s">
        <v>241</v>
      </c>
      <c r="I132">
        <v>1.06</v>
      </c>
      <c r="K132">
        <v>3524.5</v>
      </c>
    </row>
    <row r="133" spans="1:13" x14ac:dyDescent="0.3">
      <c r="A133" s="44" t="s">
        <v>98</v>
      </c>
      <c r="B133" s="44" t="s">
        <v>98</v>
      </c>
      <c r="C133" s="44" t="s">
        <v>151</v>
      </c>
      <c r="D133" s="44" t="s">
        <v>190</v>
      </c>
      <c r="E133" s="44" t="s">
        <v>132</v>
      </c>
      <c r="F133" s="44" t="s">
        <v>139</v>
      </c>
      <c r="G133" s="44" t="s">
        <v>140</v>
      </c>
      <c r="H133" s="44" t="s">
        <v>132</v>
      </c>
      <c r="I133">
        <v>0.38</v>
      </c>
      <c r="K133">
        <v>919.3</v>
      </c>
    </row>
    <row r="134" spans="1:13" x14ac:dyDescent="0.3">
      <c r="A134" s="44" t="s">
        <v>98</v>
      </c>
      <c r="B134" s="44" t="s">
        <v>98</v>
      </c>
      <c r="C134" s="44" t="s">
        <v>151</v>
      </c>
      <c r="D134" s="44" t="s">
        <v>190</v>
      </c>
      <c r="E134" s="44" t="s">
        <v>132</v>
      </c>
      <c r="F134" s="44" t="s">
        <v>141</v>
      </c>
      <c r="G134" s="44" t="s">
        <v>142</v>
      </c>
      <c r="H134" s="44" t="s">
        <v>132</v>
      </c>
      <c r="I134">
        <v>0.59</v>
      </c>
      <c r="K134">
        <v>295</v>
      </c>
    </row>
    <row r="135" spans="1:13" x14ac:dyDescent="0.3">
      <c r="A135" s="44" t="s">
        <v>98</v>
      </c>
      <c r="B135" s="44" t="s">
        <v>98</v>
      </c>
      <c r="C135" s="44" t="s">
        <v>151</v>
      </c>
      <c r="D135" s="44" t="s">
        <v>190</v>
      </c>
      <c r="E135" s="44" t="s">
        <v>132</v>
      </c>
      <c r="F135" s="44" t="s">
        <v>147</v>
      </c>
      <c r="G135" s="44" t="s">
        <v>148</v>
      </c>
      <c r="H135" s="44" t="s">
        <v>132</v>
      </c>
      <c r="I135">
        <v>0.38</v>
      </c>
      <c r="K135">
        <v>606</v>
      </c>
    </row>
    <row r="136" spans="1:13" x14ac:dyDescent="0.3">
      <c r="A136" s="44" t="s">
        <v>98</v>
      </c>
      <c r="B136" s="44" t="s">
        <v>98</v>
      </c>
      <c r="C136" s="44" t="s">
        <v>151</v>
      </c>
      <c r="D136" s="44" t="s">
        <v>191</v>
      </c>
      <c r="E136" s="44" t="s">
        <v>132</v>
      </c>
      <c r="F136" s="44" t="s">
        <v>135</v>
      </c>
      <c r="G136" s="44" t="s">
        <v>159</v>
      </c>
      <c r="H136" s="44" t="s">
        <v>132</v>
      </c>
      <c r="I136">
        <v>0.24</v>
      </c>
      <c r="K136">
        <v>218.4</v>
      </c>
    </row>
    <row r="137" spans="1:13" x14ac:dyDescent="0.3">
      <c r="A137" s="44" t="s">
        <v>98</v>
      </c>
      <c r="B137" s="44" t="s">
        <v>98</v>
      </c>
      <c r="C137" s="44" t="s">
        <v>151</v>
      </c>
      <c r="D137" s="44" t="s">
        <v>191</v>
      </c>
      <c r="E137" s="44" t="s">
        <v>132</v>
      </c>
      <c r="F137" s="44" t="s">
        <v>137</v>
      </c>
      <c r="G137" s="44" t="s">
        <v>138</v>
      </c>
      <c r="H137" s="44" t="s">
        <v>241</v>
      </c>
      <c r="I137">
        <v>1.99</v>
      </c>
      <c r="K137">
        <v>6616.75</v>
      </c>
    </row>
    <row r="138" spans="1:13" x14ac:dyDescent="0.3">
      <c r="A138" s="44" t="s">
        <v>98</v>
      </c>
      <c r="B138" s="44" t="s">
        <v>98</v>
      </c>
      <c r="C138" s="44" t="s">
        <v>151</v>
      </c>
      <c r="D138" s="44" t="s">
        <v>191</v>
      </c>
      <c r="E138" s="44" t="s">
        <v>132</v>
      </c>
      <c r="F138" s="44" t="s">
        <v>139</v>
      </c>
      <c r="G138" s="44" t="s">
        <v>140</v>
      </c>
      <c r="H138" s="44" t="s">
        <v>132</v>
      </c>
      <c r="I138">
        <v>0.54</v>
      </c>
      <c r="K138">
        <v>807.5</v>
      </c>
    </row>
    <row r="139" spans="1:13" x14ac:dyDescent="0.3">
      <c r="A139" s="44" t="s">
        <v>98</v>
      </c>
      <c r="B139" s="44" t="s">
        <v>98</v>
      </c>
      <c r="C139" s="44" t="s">
        <v>151</v>
      </c>
      <c r="D139" s="44" t="s">
        <v>191</v>
      </c>
      <c r="E139" s="44" t="s">
        <v>132</v>
      </c>
      <c r="F139" s="44" t="s">
        <v>141</v>
      </c>
      <c r="G139" s="44" t="s">
        <v>142</v>
      </c>
      <c r="H139" s="44" t="s">
        <v>132</v>
      </c>
      <c r="I139">
        <v>0.42</v>
      </c>
      <c r="K139">
        <v>210</v>
      </c>
    </row>
    <row r="140" spans="1:13" x14ac:dyDescent="0.3">
      <c r="A140" s="44" t="s">
        <v>98</v>
      </c>
      <c r="B140" s="44" t="s">
        <v>98</v>
      </c>
      <c r="C140" s="44" t="s">
        <v>151</v>
      </c>
      <c r="D140" s="44" t="s">
        <v>191</v>
      </c>
      <c r="E140" s="44" t="s">
        <v>132</v>
      </c>
      <c r="F140" s="44" t="s">
        <v>143</v>
      </c>
      <c r="G140" s="44" t="s">
        <v>144</v>
      </c>
      <c r="H140" s="44" t="s">
        <v>132</v>
      </c>
      <c r="I140">
        <v>0.81</v>
      </c>
      <c r="K140">
        <v>324</v>
      </c>
    </row>
    <row r="141" spans="1:13" x14ac:dyDescent="0.3">
      <c r="A141" s="44" t="s">
        <v>98</v>
      </c>
      <c r="B141" s="44" t="s">
        <v>98</v>
      </c>
      <c r="C141" s="44" t="s">
        <v>151</v>
      </c>
      <c r="D141" s="44" t="s">
        <v>191</v>
      </c>
      <c r="E141" s="44" t="s">
        <v>132</v>
      </c>
      <c r="F141" s="44" t="s">
        <v>147</v>
      </c>
      <c r="G141" s="44" t="s">
        <v>148</v>
      </c>
      <c r="H141" s="44" t="s">
        <v>132</v>
      </c>
      <c r="I141">
        <v>0.18</v>
      </c>
      <c r="K141">
        <v>346.95</v>
      </c>
    </row>
    <row r="142" spans="1:13" ht="15" thickBot="1" x14ac:dyDescent="0.35">
      <c r="A142" s="44" t="s">
        <v>98</v>
      </c>
      <c r="B142" s="44" t="s">
        <v>98</v>
      </c>
      <c r="C142" s="44" t="s">
        <v>151</v>
      </c>
      <c r="D142" s="44" t="s">
        <v>192</v>
      </c>
      <c r="E142" s="44" t="s">
        <v>132</v>
      </c>
      <c r="F142" s="44" t="s">
        <v>139</v>
      </c>
      <c r="G142" s="44" t="s">
        <v>140</v>
      </c>
      <c r="H142" s="44" t="s">
        <v>132</v>
      </c>
      <c r="I142">
        <v>0.8</v>
      </c>
      <c r="K142">
        <v>852</v>
      </c>
    </row>
    <row r="143" spans="1:13" ht="15" thickBot="1" x14ac:dyDescent="0.35">
      <c r="A143" s="45"/>
      <c r="B143" s="46"/>
      <c r="C143" s="46"/>
      <c r="D143" s="47" t="s">
        <v>193</v>
      </c>
      <c r="E143" s="46"/>
      <c r="F143" s="46"/>
      <c r="G143" s="46"/>
      <c r="H143" s="46"/>
      <c r="I143" s="46">
        <f>SUM(I41:I142)</f>
        <v>77.14</v>
      </c>
      <c r="J143" s="46"/>
      <c r="K143" s="48">
        <f>SUM(K41:K142)</f>
        <v>155406.46</v>
      </c>
      <c r="M143" s="43" t="s">
        <v>149</v>
      </c>
    </row>
    <row r="146" spans="1:11" x14ac:dyDescent="0.3">
      <c r="A146" s="43" t="s">
        <v>194</v>
      </c>
      <c r="B146" s="43"/>
      <c r="C146" s="43"/>
      <c r="D146" s="43"/>
    </row>
    <row r="147" spans="1:11" x14ac:dyDescent="0.3">
      <c r="A147" s="44" t="s">
        <v>98</v>
      </c>
      <c r="B147" s="44" t="s">
        <v>98</v>
      </c>
      <c r="C147" s="44" t="s">
        <v>151</v>
      </c>
      <c r="D147" s="44" t="s">
        <v>206</v>
      </c>
      <c r="E147" s="44" t="s">
        <v>132</v>
      </c>
      <c r="F147" s="44" t="s">
        <v>137</v>
      </c>
      <c r="G147" s="44" t="s">
        <v>138</v>
      </c>
      <c r="H147" s="44" t="s">
        <v>241</v>
      </c>
      <c r="I147">
        <v>0.56000000000000005</v>
      </c>
      <c r="K147">
        <v>1862</v>
      </c>
    </row>
    <row r="148" spans="1:11" x14ac:dyDescent="0.3">
      <c r="A148" s="44" t="s">
        <v>98</v>
      </c>
      <c r="B148" s="44" t="s">
        <v>98</v>
      </c>
      <c r="C148" s="44" t="s">
        <v>151</v>
      </c>
      <c r="D148" s="44" t="s">
        <v>206</v>
      </c>
      <c r="E148" s="44" t="s">
        <v>132</v>
      </c>
      <c r="F148" s="44" t="s">
        <v>139</v>
      </c>
      <c r="G148" s="44" t="s">
        <v>140</v>
      </c>
      <c r="H148" s="44" t="s">
        <v>132</v>
      </c>
      <c r="I148">
        <v>0.02</v>
      </c>
      <c r="K148">
        <v>54.5</v>
      </c>
    </row>
    <row r="149" spans="1:11" x14ac:dyDescent="0.3">
      <c r="A149" s="44" t="s">
        <v>98</v>
      </c>
      <c r="B149" s="44" t="s">
        <v>98</v>
      </c>
      <c r="C149" s="44" t="s">
        <v>151</v>
      </c>
      <c r="D149" s="44" t="s">
        <v>206</v>
      </c>
      <c r="E149" s="44" t="s">
        <v>132</v>
      </c>
      <c r="F149" s="44" t="s">
        <v>147</v>
      </c>
      <c r="G149" s="44" t="s">
        <v>148</v>
      </c>
      <c r="H149" s="44" t="s">
        <v>132</v>
      </c>
      <c r="I149">
        <v>7.0000000000000007E-2</v>
      </c>
      <c r="K149">
        <v>140</v>
      </c>
    </row>
    <row r="150" spans="1:11" x14ac:dyDescent="0.3">
      <c r="A150" s="44" t="s">
        <v>98</v>
      </c>
      <c r="B150" s="44" t="s">
        <v>98</v>
      </c>
      <c r="C150" s="44" t="s">
        <v>151</v>
      </c>
      <c r="D150" s="44" t="s">
        <v>250</v>
      </c>
      <c r="E150" s="44" t="s">
        <v>132</v>
      </c>
      <c r="F150" s="44" t="s">
        <v>141</v>
      </c>
      <c r="G150" s="44" t="s">
        <v>142</v>
      </c>
      <c r="H150" s="44" t="s">
        <v>132</v>
      </c>
      <c r="I150">
        <v>0.48</v>
      </c>
      <c r="K150">
        <v>240</v>
      </c>
    </row>
    <row r="151" spans="1:11" x14ac:dyDescent="0.3">
      <c r="A151" s="44" t="s">
        <v>98</v>
      </c>
      <c r="B151" s="44" t="s">
        <v>98</v>
      </c>
      <c r="C151" s="44" t="s">
        <v>151</v>
      </c>
      <c r="D151" s="44" t="s">
        <v>204</v>
      </c>
      <c r="E151" s="44" t="s">
        <v>132</v>
      </c>
      <c r="F151" s="44" t="s">
        <v>133</v>
      </c>
      <c r="G151" s="44" t="s">
        <v>134</v>
      </c>
      <c r="H151" s="44" t="s">
        <v>132</v>
      </c>
      <c r="I151">
        <v>0.03</v>
      </c>
      <c r="K151">
        <v>210</v>
      </c>
    </row>
    <row r="152" spans="1:11" x14ac:dyDescent="0.3">
      <c r="A152" s="44" t="s">
        <v>98</v>
      </c>
      <c r="B152" s="44" t="s">
        <v>98</v>
      </c>
      <c r="C152" s="44" t="s">
        <v>151</v>
      </c>
      <c r="D152" s="44" t="s">
        <v>204</v>
      </c>
      <c r="E152" s="44" t="s">
        <v>132</v>
      </c>
      <c r="F152" s="44" t="s">
        <v>139</v>
      </c>
      <c r="G152" s="44" t="s">
        <v>140</v>
      </c>
      <c r="H152" s="44" t="s">
        <v>132</v>
      </c>
      <c r="I152">
        <v>0.68</v>
      </c>
      <c r="K152">
        <v>1487.8</v>
      </c>
    </row>
    <row r="153" spans="1:11" x14ac:dyDescent="0.3">
      <c r="A153" s="44" t="s">
        <v>98</v>
      </c>
      <c r="B153" s="44" t="s">
        <v>98</v>
      </c>
      <c r="C153" s="44" t="s">
        <v>151</v>
      </c>
      <c r="D153" s="44" t="s">
        <v>204</v>
      </c>
      <c r="E153" s="44" t="s">
        <v>132</v>
      </c>
      <c r="F153" s="44" t="s">
        <v>141</v>
      </c>
      <c r="G153" s="44" t="s">
        <v>142</v>
      </c>
      <c r="H153" s="44" t="s">
        <v>132</v>
      </c>
      <c r="I153">
        <v>0.05</v>
      </c>
      <c r="K153">
        <v>25</v>
      </c>
    </row>
    <row r="154" spans="1:11" x14ac:dyDescent="0.3">
      <c r="A154" s="44" t="s">
        <v>98</v>
      </c>
      <c r="B154" s="44" t="s">
        <v>98</v>
      </c>
      <c r="C154" s="44" t="s">
        <v>151</v>
      </c>
      <c r="D154" s="44" t="s">
        <v>205</v>
      </c>
      <c r="E154" s="44" t="s">
        <v>132</v>
      </c>
      <c r="F154" s="44" t="s">
        <v>133</v>
      </c>
      <c r="G154" s="44" t="s">
        <v>134</v>
      </c>
      <c r="H154" s="44" t="s">
        <v>132</v>
      </c>
      <c r="I154">
        <v>3.2000000000000001E-2</v>
      </c>
      <c r="K154">
        <v>224</v>
      </c>
    </row>
    <row r="155" spans="1:11" x14ac:dyDescent="0.3">
      <c r="A155" s="44" t="s">
        <v>98</v>
      </c>
      <c r="B155" s="44" t="s">
        <v>98</v>
      </c>
      <c r="C155" s="44" t="s">
        <v>151</v>
      </c>
      <c r="D155" s="44" t="s">
        <v>205</v>
      </c>
      <c r="E155" s="44" t="s">
        <v>132</v>
      </c>
      <c r="F155" s="44" t="s">
        <v>137</v>
      </c>
      <c r="G155" s="44" t="s">
        <v>138</v>
      </c>
      <c r="H155" s="44" t="s">
        <v>241</v>
      </c>
      <c r="I155">
        <v>0.17</v>
      </c>
      <c r="K155">
        <v>565.25</v>
      </c>
    </row>
    <row r="156" spans="1:11" x14ac:dyDescent="0.3">
      <c r="A156" s="44" t="s">
        <v>98</v>
      </c>
      <c r="B156" s="44" t="s">
        <v>98</v>
      </c>
      <c r="C156" s="44" t="s">
        <v>151</v>
      </c>
      <c r="D156" s="44" t="s">
        <v>205</v>
      </c>
      <c r="E156" s="44" t="s">
        <v>132</v>
      </c>
      <c r="F156" s="44" t="s">
        <v>139</v>
      </c>
      <c r="G156" s="44" t="s">
        <v>140</v>
      </c>
      <c r="H156" s="44" t="s">
        <v>132</v>
      </c>
      <c r="I156">
        <v>0.08</v>
      </c>
      <c r="K156">
        <v>218</v>
      </c>
    </row>
    <row r="157" spans="1:11" x14ac:dyDescent="0.3">
      <c r="A157" s="44" t="s">
        <v>98</v>
      </c>
      <c r="B157" s="44" t="s">
        <v>98</v>
      </c>
      <c r="C157" s="44" t="s">
        <v>151</v>
      </c>
      <c r="D157" s="44" t="s">
        <v>205</v>
      </c>
      <c r="E157" s="44" t="s">
        <v>132</v>
      </c>
      <c r="F157" s="44" t="s">
        <v>147</v>
      </c>
      <c r="G157" s="44" t="s">
        <v>148</v>
      </c>
      <c r="H157" s="44" t="s">
        <v>132</v>
      </c>
      <c r="I157">
        <v>0.14000000000000001</v>
      </c>
      <c r="K157">
        <v>266</v>
      </c>
    </row>
    <row r="158" spans="1:11" x14ac:dyDescent="0.3">
      <c r="A158" s="44" t="s">
        <v>98</v>
      </c>
      <c r="B158" s="44" t="s">
        <v>98</v>
      </c>
      <c r="C158" s="44" t="s">
        <v>151</v>
      </c>
      <c r="D158" s="44" t="s">
        <v>203</v>
      </c>
      <c r="E158" s="44" t="s">
        <v>132</v>
      </c>
      <c r="F158" s="44" t="s">
        <v>147</v>
      </c>
      <c r="G158" s="44" t="s">
        <v>148</v>
      </c>
      <c r="H158" s="44" t="s">
        <v>132</v>
      </c>
      <c r="I158">
        <v>0.01</v>
      </c>
      <c r="K158">
        <v>20</v>
      </c>
    </row>
    <row r="159" spans="1:11" x14ac:dyDescent="0.3">
      <c r="A159" s="44" t="s">
        <v>98</v>
      </c>
      <c r="B159" s="44" t="s">
        <v>98</v>
      </c>
      <c r="C159" s="44" t="s">
        <v>151</v>
      </c>
      <c r="D159" s="44" t="s">
        <v>195</v>
      </c>
      <c r="E159" s="44" t="s">
        <v>132</v>
      </c>
      <c r="F159" s="44" t="s">
        <v>139</v>
      </c>
      <c r="G159" s="44" t="s">
        <v>140</v>
      </c>
      <c r="H159" s="44" t="s">
        <v>132</v>
      </c>
      <c r="I159">
        <v>0.23</v>
      </c>
      <c r="K159">
        <v>626.75</v>
      </c>
    </row>
    <row r="160" spans="1:11" x14ac:dyDescent="0.3">
      <c r="A160" s="44" t="s">
        <v>98</v>
      </c>
      <c r="B160" s="44" t="s">
        <v>98</v>
      </c>
      <c r="C160" s="44" t="s">
        <v>151</v>
      </c>
      <c r="D160" s="44" t="s">
        <v>195</v>
      </c>
      <c r="E160" s="44" t="s">
        <v>132</v>
      </c>
      <c r="F160" s="44" t="s">
        <v>141</v>
      </c>
      <c r="G160" s="44" t="s">
        <v>142</v>
      </c>
      <c r="H160" s="44" t="s">
        <v>132</v>
      </c>
      <c r="I160">
        <v>0.37</v>
      </c>
      <c r="K160">
        <v>185</v>
      </c>
    </row>
    <row r="161" spans="1:11" x14ac:dyDescent="0.3">
      <c r="A161" s="44" t="s">
        <v>98</v>
      </c>
      <c r="B161" s="44" t="s">
        <v>98</v>
      </c>
      <c r="C161" s="44" t="s">
        <v>151</v>
      </c>
      <c r="D161" s="44" t="s">
        <v>195</v>
      </c>
      <c r="E161" s="44" t="s">
        <v>132</v>
      </c>
      <c r="F161" s="44" t="s">
        <v>147</v>
      </c>
      <c r="G161" s="44" t="s">
        <v>148</v>
      </c>
      <c r="H161" s="44" t="s">
        <v>132</v>
      </c>
      <c r="I161">
        <v>0.21</v>
      </c>
      <c r="K161">
        <v>405.5</v>
      </c>
    </row>
    <row r="162" spans="1:11" x14ac:dyDescent="0.3">
      <c r="A162" s="44" t="s">
        <v>98</v>
      </c>
      <c r="B162" s="44" t="s">
        <v>98</v>
      </c>
      <c r="C162" s="44" t="s">
        <v>151</v>
      </c>
      <c r="D162" s="44" t="s">
        <v>201</v>
      </c>
      <c r="E162" s="44" t="s">
        <v>132</v>
      </c>
      <c r="F162" s="44" t="s">
        <v>139</v>
      </c>
      <c r="G162" s="44" t="s">
        <v>140</v>
      </c>
      <c r="H162" s="44" t="s">
        <v>132</v>
      </c>
      <c r="I162">
        <v>0.62</v>
      </c>
      <c r="K162">
        <v>660.3</v>
      </c>
    </row>
    <row r="163" spans="1:11" x14ac:dyDescent="0.3">
      <c r="A163" s="44" t="s">
        <v>98</v>
      </c>
      <c r="B163" s="44" t="s">
        <v>98</v>
      </c>
      <c r="C163" s="44" t="s">
        <v>151</v>
      </c>
      <c r="D163" s="44" t="s">
        <v>201</v>
      </c>
      <c r="E163" s="44" t="s">
        <v>132</v>
      </c>
      <c r="F163" s="44" t="s">
        <v>143</v>
      </c>
      <c r="G163" s="44" t="s">
        <v>144</v>
      </c>
      <c r="H163" s="44" t="s">
        <v>132</v>
      </c>
      <c r="I163">
        <v>0.13</v>
      </c>
      <c r="K163">
        <v>52</v>
      </c>
    </row>
    <row r="164" spans="1:11" x14ac:dyDescent="0.3">
      <c r="A164" s="44" t="s">
        <v>98</v>
      </c>
      <c r="B164" s="44" t="s">
        <v>98</v>
      </c>
      <c r="C164" s="44" t="s">
        <v>151</v>
      </c>
      <c r="D164" s="44" t="s">
        <v>249</v>
      </c>
      <c r="E164" s="44" t="s">
        <v>132</v>
      </c>
      <c r="F164" s="44" t="s">
        <v>137</v>
      </c>
      <c r="G164" s="44" t="s">
        <v>138</v>
      </c>
      <c r="H164" s="44" t="s">
        <v>241</v>
      </c>
      <c r="I164">
        <v>2.87</v>
      </c>
      <c r="K164">
        <v>9542.75</v>
      </c>
    </row>
    <row r="165" spans="1:11" x14ac:dyDescent="0.3">
      <c r="A165" s="44" t="s">
        <v>98</v>
      </c>
      <c r="B165" s="44" t="s">
        <v>98</v>
      </c>
      <c r="C165" s="44" t="s">
        <v>151</v>
      </c>
      <c r="D165" s="44" t="s">
        <v>198</v>
      </c>
      <c r="E165" s="44" t="s">
        <v>132</v>
      </c>
      <c r="F165" s="44" t="s">
        <v>147</v>
      </c>
      <c r="G165" s="44" t="s">
        <v>148</v>
      </c>
      <c r="H165" s="44" t="s">
        <v>132</v>
      </c>
      <c r="I165">
        <v>0.19</v>
      </c>
      <c r="K165">
        <v>380</v>
      </c>
    </row>
    <row r="166" spans="1:11" x14ac:dyDescent="0.3">
      <c r="A166" s="44" t="s">
        <v>98</v>
      </c>
      <c r="B166" s="44" t="s">
        <v>98</v>
      </c>
      <c r="C166" s="44" t="s">
        <v>151</v>
      </c>
      <c r="D166" s="44" t="s">
        <v>248</v>
      </c>
      <c r="E166" s="44" t="s">
        <v>132</v>
      </c>
      <c r="F166" s="44" t="s">
        <v>137</v>
      </c>
      <c r="G166" s="44" t="s">
        <v>138</v>
      </c>
      <c r="H166" s="44" t="s">
        <v>241</v>
      </c>
      <c r="I166">
        <v>1.1499999999999999</v>
      </c>
      <c r="K166">
        <v>3823.75</v>
      </c>
    </row>
    <row r="167" spans="1:11" x14ac:dyDescent="0.3">
      <c r="A167" s="44" t="s">
        <v>98</v>
      </c>
      <c r="B167" s="44" t="s">
        <v>98</v>
      </c>
      <c r="C167" s="44" t="s">
        <v>151</v>
      </c>
      <c r="D167" s="44" t="s">
        <v>248</v>
      </c>
      <c r="E167" s="44" t="s">
        <v>132</v>
      </c>
      <c r="F167" s="44" t="s">
        <v>147</v>
      </c>
      <c r="G167" s="44" t="s">
        <v>148</v>
      </c>
      <c r="H167" s="44" t="s">
        <v>132</v>
      </c>
      <c r="I167">
        <v>0.08</v>
      </c>
      <c r="K167">
        <v>104</v>
      </c>
    </row>
    <row r="168" spans="1:11" x14ac:dyDescent="0.3">
      <c r="A168" s="44" t="s">
        <v>98</v>
      </c>
      <c r="B168" s="44" t="s">
        <v>98</v>
      </c>
      <c r="C168" s="44" t="s">
        <v>151</v>
      </c>
      <c r="D168" s="44" t="s">
        <v>199</v>
      </c>
      <c r="E168" s="44" t="s">
        <v>132</v>
      </c>
      <c r="F168" s="44" t="s">
        <v>155</v>
      </c>
      <c r="G168" s="44" t="s">
        <v>156</v>
      </c>
      <c r="H168" s="44" t="s">
        <v>132</v>
      </c>
      <c r="I168">
        <v>0.06</v>
      </c>
      <c r="K168">
        <v>240</v>
      </c>
    </row>
    <row r="169" spans="1:11" x14ac:dyDescent="0.3">
      <c r="A169" s="44" t="s">
        <v>98</v>
      </c>
      <c r="B169" s="44" t="s">
        <v>98</v>
      </c>
      <c r="C169" s="44" t="s">
        <v>151</v>
      </c>
      <c r="D169" s="44" t="s">
        <v>199</v>
      </c>
      <c r="E169" s="44" t="s">
        <v>132</v>
      </c>
      <c r="F169" s="44" t="s">
        <v>139</v>
      </c>
      <c r="G169" s="44" t="s">
        <v>140</v>
      </c>
      <c r="H169" s="44" t="s">
        <v>132</v>
      </c>
      <c r="I169">
        <v>0.6</v>
      </c>
      <c r="K169">
        <v>1203.4000000000001</v>
      </c>
    </row>
    <row r="170" spans="1:11" x14ac:dyDescent="0.3">
      <c r="A170" s="44" t="s">
        <v>98</v>
      </c>
      <c r="B170" s="44" t="s">
        <v>98</v>
      </c>
      <c r="C170" s="44" t="s">
        <v>151</v>
      </c>
      <c r="D170" s="44" t="s">
        <v>199</v>
      </c>
      <c r="E170" s="44" t="s">
        <v>132</v>
      </c>
      <c r="F170" s="44" t="s">
        <v>141</v>
      </c>
      <c r="G170" s="44" t="s">
        <v>142</v>
      </c>
      <c r="H170" s="44" t="s">
        <v>132</v>
      </c>
      <c r="I170">
        <v>0.15</v>
      </c>
      <c r="K170">
        <v>75</v>
      </c>
    </row>
    <row r="171" spans="1:11" x14ac:dyDescent="0.3">
      <c r="A171" s="44" t="s">
        <v>98</v>
      </c>
      <c r="B171" s="44" t="s">
        <v>98</v>
      </c>
      <c r="C171" s="44" t="s">
        <v>151</v>
      </c>
      <c r="D171" s="44" t="s">
        <v>199</v>
      </c>
      <c r="E171" s="44" t="s">
        <v>132</v>
      </c>
      <c r="F171" s="44" t="s">
        <v>147</v>
      </c>
      <c r="G171" s="44" t="s">
        <v>148</v>
      </c>
      <c r="H171" s="44" t="s">
        <v>132</v>
      </c>
      <c r="I171">
        <v>0.73</v>
      </c>
      <c r="K171">
        <v>1418</v>
      </c>
    </row>
    <row r="172" spans="1:11" x14ac:dyDescent="0.3">
      <c r="A172" s="44" t="s">
        <v>98</v>
      </c>
      <c r="B172" s="44" t="s">
        <v>98</v>
      </c>
      <c r="C172" s="44" t="s">
        <v>151</v>
      </c>
      <c r="D172" s="44" t="s">
        <v>196</v>
      </c>
      <c r="E172" s="44" t="s">
        <v>132</v>
      </c>
      <c r="F172" s="44" t="s">
        <v>139</v>
      </c>
      <c r="G172" s="44" t="s">
        <v>140</v>
      </c>
      <c r="H172" s="44" t="s">
        <v>132</v>
      </c>
      <c r="I172">
        <v>0.14000000000000001</v>
      </c>
      <c r="K172">
        <v>182.3</v>
      </c>
    </row>
    <row r="173" spans="1:11" x14ac:dyDescent="0.3">
      <c r="A173" s="44" t="s">
        <v>98</v>
      </c>
      <c r="B173" s="44" t="s">
        <v>98</v>
      </c>
      <c r="C173" s="44" t="s">
        <v>151</v>
      </c>
      <c r="D173" s="44" t="s">
        <v>196</v>
      </c>
      <c r="E173" s="44" t="s">
        <v>132</v>
      </c>
      <c r="F173" s="44" t="s">
        <v>141</v>
      </c>
      <c r="G173" s="44" t="s">
        <v>142</v>
      </c>
      <c r="H173" s="44" t="s">
        <v>132</v>
      </c>
      <c r="I173">
        <v>0.01</v>
      </c>
      <c r="K173">
        <v>5</v>
      </c>
    </row>
    <row r="174" spans="1:11" x14ac:dyDescent="0.3">
      <c r="A174" s="44" t="s">
        <v>98</v>
      </c>
      <c r="B174" s="44" t="s">
        <v>98</v>
      </c>
      <c r="C174" s="44" t="s">
        <v>151</v>
      </c>
      <c r="D174" s="44" t="s">
        <v>197</v>
      </c>
      <c r="E174" s="44" t="s">
        <v>132</v>
      </c>
      <c r="F174" s="44" t="s">
        <v>135</v>
      </c>
      <c r="G174" s="44" t="s">
        <v>159</v>
      </c>
      <c r="H174" s="44" t="s">
        <v>132</v>
      </c>
      <c r="I174">
        <v>7.0000000000000007E-2</v>
      </c>
      <c r="K174">
        <v>63.7</v>
      </c>
    </row>
    <row r="175" spans="1:11" x14ac:dyDescent="0.3">
      <c r="A175" s="44" t="s">
        <v>98</v>
      </c>
      <c r="B175" s="44" t="s">
        <v>98</v>
      </c>
      <c r="C175" s="44" t="s">
        <v>151</v>
      </c>
      <c r="D175" s="44" t="s">
        <v>197</v>
      </c>
      <c r="E175" s="44" t="s">
        <v>132</v>
      </c>
      <c r="F175" s="44" t="s">
        <v>139</v>
      </c>
      <c r="G175" s="44" t="s">
        <v>140</v>
      </c>
      <c r="H175" s="44" t="s">
        <v>132</v>
      </c>
      <c r="I175">
        <v>1.1399999999999999</v>
      </c>
      <c r="K175">
        <v>1214.0999999999999</v>
      </c>
    </row>
    <row r="176" spans="1:11" ht="15" thickBot="1" x14ac:dyDescent="0.35">
      <c r="A176" s="44" t="s">
        <v>98</v>
      </c>
      <c r="B176" s="44" t="s">
        <v>98</v>
      </c>
      <c r="C176" s="44" t="s">
        <v>151</v>
      </c>
      <c r="D176" s="44" t="s">
        <v>197</v>
      </c>
      <c r="E176" s="44" t="s">
        <v>132</v>
      </c>
      <c r="F176" s="44" t="s">
        <v>147</v>
      </c>
      <c r="G176" s="44" t="s">
        <v>148</v>
      </c>
      <c r="H176" s="44" t="s">
        <v>132</v>
      </c>
      <c r="I176">
        <v>0.14000000000000001</v>
      </c>
      <c r="K176">
        <v>252</v>
      </c>
    </row>
    <row r="177" spans="1:13" ht="15" thickBot="1" x14ac:dyDescent="0.35">
      <c r="A177" s="45"/>
      <c r="B177" s="46"/>
      <c r="C177" s="46"/>
      <c r="D177" s="46" t="s">
        <v>207</v>
      </c>
      <c r="E177" s="46"/>
      <c r="F177" s="46"/>
      <c r="G177" s="46"/>
      <c r="H177" s="46"/>
      <c r="I177" s="46">
        <f>SUM(I147:I176)</f>
        <v>11.212000000000003</v>
      </c>
      <c r="J177" s="46"/>
      <c r="K177" s="48">
        <f>SUM(K147:K176)</f>
        <v>25746.1</v>
      </c>
      <c r="M177" s="43" t="s">
        <v>149</v>
      </c>
    </row>
    <row r="181" spans="1:13" x14ac:dyDescent="0.3">
      <c r="A181">
        <v>247901</v>
      </c>
      <c r="B181" s="44" t="s">
        <v>129</v>
      </c>
      <c r="C181" s="44" t="s">
        <v>130</v>
      </c>
      <c r="D181" s="44" t="s">
        <v>208</v>
      </c>
      <c r="E181" s="44" t="s">
        <v>132</v>
      </c>
      <c r="F181" s="44" t="s">
        <v>141</v>
      </c>
      <c r="G181" s="44" t="s">
        <v>142</v>
      </c>
      <c r="H181" s="44" t="s">
        <v>132</v>
      </c>
      <c r="I181">
        <v>1.58</v>
      </c>
      <c r="K181">
        <v>790</v>
      </c>
    </row>
    <row r="182" spans="1:13" x14ac:dyDescent="0.3">
      <c r="A182">
        <v>247901</v>
      </c>
      <c r="B182" s="44" t="s">
        <v>129</v>
      </c>
      <c r="C182" s="44" t="s">
        <v>130</v>
      </c>
      <c r="D182" s="44" t="s">
        <v>208</v>
      </c>
      <c r="E182" s="44" t="s">
        <v>132</v>
      </c>
      <c r="F182" s="44" t="s">
        <v>147</v>
      </c>
      <c r="G182" s="44" t="s">
        <v>148</v>
      </c>
      <c r="H182" s="44" t="s">
        <v>132</v>
      </c>
      <c r="I182">
        <v>0.82</v>
      </c>
      <c r="K182">
        <v>1611</v>
      </c>
    </row>
    <row r="183" spans="1:13" x14ac:dyDescent="0.3">
      <c r="A183">
        <v>248002</v>
      </c>
      <c r="B183" s="44" t="s">
        <v>129</v>
      </c>
      <c r="C183" s="44" t="s">
        <v>130</v>
      </c>
      <c r="D183" s="44" t="s">
        <v>209</v>
      </c>
      <c r="E183" s="44" t="s">
        <v>132</v>
      </c>
      <c r="F183" s="44" t="s">
        <v>135</v>
      </c>
      <c r="G183" s="44" t="s">
        <v>159</v>
      </c>
      <c r="H183" s="44" t="s">
        <v>132</v>
      </c>
      <c r="I183">
        <v>0.12</v>
      </c>
      <c r="K183">
        <v>109.2</v>
      </c>
    </row>
    <row r="184" spans="1:13" x14ac:dyDescent="0.3">
      <c r="A184">
        <v>248002</v>
      </c>
      <c r="B184" s="44" t="s">
        <v>129</v>
      </c>
      <c r="C184" s="44" t="s">
        <v>130</v>
      </c>
      <c r="D184" s="44" t="s">
        <v>209</v>
      </c>
      <c r="E184" s="44" t="s">
        <v>132</v>
      </c>
      <c r="F184" s="44" t="s">
        <v>139</v>
      </c>
      <c r="G184" s="44" t="s">
        <v>140</v>
      </c>
      <c r="H184" s="44" t="s">
        <v>132</v>
      </c>
      <c r="I184">
        <v>0.92</v>
      </c>
      <c r="K184">
        <v>2507</v>
      </c>
    </row>
    <row r="185" spans="1:13" x14ac:dyDescent="0.3">
      <c r="A185">
        <v>248002</v>
      </c>
      <c r="B185" s="44" t="s">
        <v>129</v>
      </c>
      <c r="C185" s="44" t="s">
        <v>130</v>
      </c>
      <c r="D185" s="44" t="s">
        <v>209</v>
      </c>
      <c r="E185" s="44" t="s">
        <v>132</v>
      </c>
      <c r="F185" s="44" t="s">
        <v>143</v>
      </c>
      <c r="G185" s="44" t="s">
        <v>144</v>
      </c>
      <c r="H185" s="44" t="s">
        <v>132</v>
      </c>
      <c r="I185">
        <v>0.24</v>
      </c>
      <c r="K185">
        <v>176.4</v>
      </c>
    </row>
    <row r="186" spans="1:13" x14ac:dyDescent="0.3">
      <c r="A186">
        <v>248355</v>
      </c>
      <c r="B186" s="44" t="s">
        <v>129</v>
      </c>
      <c r="C186" s="44" t="s">
        <v>130</v>
      </c>
      <c r="D186" s="44" t="s">
        <v>247</v>
      </c>
      <c r="E186" s="44" t="s">
        <v>132</v>
      </c>
      <c r="F186" s="44" t="s">
        <v>135</v>
      </c>
      <c r="G186" s="44" t="s">
        <v>159</v>
      </c>
      <c r="H186" s="44" t="s">
        <v>132</v>
      </c>
      <c r="I186">
        <v>0.17</v>
      </c>
      <c r="K186">
        <v>154.69999999999999</v>
      </c>
    </row>
    <row r="187" spans="1:13" x14ac:dyDescent="0.3">
      <c r="A187" s="44" t="s">
        <v>246</v>
      </c>
      <c r="B187" s="44" t="s">
        <v>129</v>
      </c>
      <c r="C187" s="44" t="s">
        <v>130</v>
      </c>
      <c r="D187" s="44" t="s">
        <v>245</v>
      </c>
      <c r="E187" s="44" t="s">
        <v>132</v>
      </c>
      <c r="F187" s="44" t="s">
        <v>244</v>
      </c>
      <c r="G187" s="44" t="s">
        <v>243</v>
      </c>
      <c r="H187" s="44" t="s">
        <v>132</v>
      </c>
      <c r="I187">
        <v>2.69</v>
      </c>
      <c r="K187">
        <v>1076</v>
      </c>
    </row>
    <row r="188" spans="1:13" x14ac:dyDescent="0.3">
      <c r="A188" s="44" t="s">
        <v>210</v>
      </c>
      <c r="B188" s="44" t="s">
        <v>129</v>
      </c>
      <c r="C188" s="44" t="s">
        <v>130</v>
      </c>
      <c r="D188" s="44" t="s">
        <v>211</v>
      </c>
      <c r="E188" s="44" t="s">
        <v>132</v>
      </c>
      <c r="F188" s="44" t="s">
        <v>143</v>
      </c>
      <c r="G188" s="44" t="s">
        <v>144</v>
      </c>
      <c r="H188" s="44" t="s">
        <v>132</v>
      </c>
      <c r="I188">
        <v>4.7300000000000004</v>
      </c>
      <c r="K188">
        <v>1892</v>
      </c>
    </row>
    <row r="189" spans="1:13" x14ac:dyDescent="0.3">
      <c r="A189">
        <v>248410</v>
      </c>
      <c r="B189" s="44" t="s">
        <v>129</v>
      </c>
      <c r="C189" s="44" t="s">
        <v>130</v>
      </c>
      <c r="D189" s="44" t="s">
        <v>242</v>
      </c>
      <c r="E189" s="44" t="s">
        <v>132</v>
      </c>
      <c r="F189" s="44" t="s">
        <v>137</v>
      </c>
      <c r="G189" s="44" t="s">
        <v>138</v>
      </c>
      <c r="H189" s="44" t="s">
        <v>241</v>
      </c>
      <c r="I189">
        <v>0.84</v>
      </c>
      <c r="K189">
        <v>2793</v>
      </c>
    </row>
    <row r="190" spans="1:13" x14ac:dyDescent="0.3">
      <c r="A190">
        <v>248436</v>
      </c>
      <c r="B190" s="44" t="s">
        <v>129</v>
      </c>
      <c r="C190" s="44" t="s">
        <v>130</v>
      </c>
      <c r="D190" s="44" t="s">
        <v>240</v>
      </c>
      <c r="E190" s="44" t="s">
        <v>132</v>
      </c>
      <c r="F190" s="44" t="s">
        <v>139</v>
      </c>
      <c r="G190" s="44" t="s">
        <v>140</v>
      </c>
      <c r="H190" s="44" t="s">
        <v>132</v>
      </c>
      <c r="I190">
        <v>1.06</v>
      </c>
      <c r="K190">
        <v>1128.9000000000001</v>
      </c>
    </row>
    <row r="191" spans="1:13" x14ac:dyDescent="0.3">
      <c r="A191">
        <v>248657</v>
      </c>
      <c r="B191" s="44" t="s">
        <v>129</v>
      </c>
      <c r="C191" s="44" t="s">
        <v>130</v>
      </c>
      <c r="D191" s="44" t="s">
        <v>213</v>
      </c>
      <c r="E191" s="44" t="s">
        <v>132</v>
      </c>
      <c r="F191" s="44" t="s">
        <v>143</v>
      </c>
      <c r="G191" s="44" t="s">
        <v>144</v>
      </c>
      <c r="H191" s="44" t="s">
        <v>132</v>
      </c>
      <c r="I191">
        <v>2.15</v>
      </c>
      <c r="K191">
        <v>860</v>
      </c>
    </row>
    <row r="192" spans="1:13" ht="15" thickBot="1" x14ac:dyDescent="0.35">
      <c r="A192">
        <v>511226</v>
      </c>
      <c r="B192" s="44" t="s">
        <v>129</v>
      </c>
      <c r="C192" s="44" t="s">
        <v>130</v>
      </c>
      <c r="D192" s="44" t="s">
        <v>239</v>
      </c>
      <c r="E192" s="44" t="s">
        <v>132</v>
      </c>
      <c r="F192" s="44" t="s">
        <v>143</v>
      </c>
      <c r="G192" s="44" t="s">
        <v>144</v>
      </c>
      <c r="H192" s="44" t="s">
        <v>132</v>
      </c>
      <c r="I192">
        <v>4.47</v>
      </c>
      <c r="K192">
        <v>1788</v>
      </c>
    </row>
    <row r="193" spans="1:14" ht="15" thickBot="1" x14ac:dyDescent="0.35">
      <c r="A193" s="45"/>
      <c r="B193" s="46"/>
      <c r="C193" s="46"/>
      <c r="D193" s="47" t="s">
        <v>214</v>
      </c>
      <c r="E193" s="46"/>
      <c r="F193" s="46"/>
      <c r="G193" s="46"/>
      <c r="H193" s="46"/>
      <c r="I193" s="46">
        <f>SUM(I181:I192)</f>
        <v>19.79</v>
      </c>
      <c r="J193" s="46"/>
      <c r="K193" s="48">
        <f>SUM(K181:K192)</f>
        <v>14886.199999999999</v>
      </c>
      <c r="M193" s="43" t="s">
        <v>149</v>
      </c>
    </row>
    <row r="196" spans="1:14" ht="15" thickBot="1" x14ac:dyDescent="0.35">
      <c r="A196">
        <v>179680</v>
      </c>
      <c r="B196" s="44" t="s">
        <v>215</v>
      </c>
      <c r="C196" s="44" t="s">
        <v>130</v>
      </c>
      <c r="D196" s="44" t="s">
        <v>216</v>
      </c>
      <c r="E196" s="44" t="s">
        <v>132</v>
      </c>
      <c r="F196" s="44" t="s">
        <v>143</v>
      </c>
      <c r="G196" s="44" t="s">
        <v>144</v>
      </c>
      <c r="H196" s="44" t="s">
        <v>132</v>
      </c>
      <c r="I196">
        <v>8.9499999999999993</v>
      </c>
      <c r="K196">
        <v>6578.25</v>
      </c>
    </row>
    <row r="197" spans="1:14" ht="15" thickBot="1" x14ac:dyDescent="0.35">
      <c r="A197" s="45"/>
      <c r="B197" s="46"/>
      <c r="C197" s="46"/>
      <c r="D197" s="47" t="s">
        <v>217</v>
      </c>
      <c r="E197" s="46"/>
      <c r="F197" s="46"/>
      <c r="G197" s="46"/>
      <c r="H197" s="46"/>
      <c r="I197" s="46">
        <f>SUM(I196)</f>
        <v>8.9499999999999993</v>
      </c>
      <c r="J197" s="46"/>
      <c r="K197" s="48">
        <f>SUM(K196)</f>
        <v>6578.25</v>
      </c>
      <c r="M197" s="43" t="s">
        <v>149</v>
      </c>
    </row>
    <row r="199" spans="1:14" ht="15" thickBot="1" x14ac:dyDescent="0.35"/>
    <row r="200" spans="1:14" ht="15" thickBot="1" x14ac:dyDescent="0.35">
      <c r="A200" s="45" t="s">
        <v>238</v>
      </c>
      <c r="B200" s="46"/>
      <c r="C200" s="46"/>
      <c r="D200" s="46" t="s">
        <v>237</v>
      </c>
      <c r="E200" s="46"/>
      <c r="F200" s="46"/>
      <c r="G200" s="46"/>
      <c r="H200" s="46"/>
      <c r="I200" s="46">
        <v>406.60600000000011</v>
      </c>
      <c r="J200" s="46"/>
      <c r="K200" s="48">
        <v>653060.16999999981</v>
      </c>
      <c r="M200" s="43" t="s">
        <v>149</v>
      </c>
    </row>
    <row r="202" spans="1:14" x14ac:dyDescent="0.3">
      <c r="I202">
        <f>SUBTOTAL(9,I2:I201)</f>
        <v>1619.2399999999993</v>
      </c>
    </row>
    <row r="203" spans="1:14" x14ac:dyDescent="0.3">
      <c r="H203" t="s">
        <v>322</v>
      </c>
      <c r="I203">
        <v>258.75700000000001</v>
      </c>
      <c r="M203" t="s">
        <v>299</v>
      </c>
      <c r="N203">
        <f>I203+I204+I206+I207+J208+I209</f>
        <v>652.50099999999998</v>
      </c>
    </row>
    <row r="204" spans="1:14" x14ac:dyDescent="0.3">
      <c r="H204" t="s">
        <v>321</v>
      </c>
      <c r="I204">
        <v>57.578000000000003</v>
      </c>
    </row>
    <row r="205" spans="1:14" x14ac:dyDescent="0.3">
      <c r="H205" t="s">
        <v>323</v>
      </c>
      <c r="I205">
        <v>172.89</v>
      </c>
      <c r="M205" t="s">
        <v>300</v>
      </c>
      <c r="N205">
        <f>I205+I208-J208</f>
        <v>362.91839999999996</v>
      </c>
    </row>
    <row r="206" spans="1:14" x14ac:dyDescent="0.3">
      <c r="H206">
        <v>200301</v>
      </c>
      <c r="I206">
        <f>43.327+8.95+19.02</f>
        <v>71.296999999999997</v>
      </c>
    </row>
    <row r="207" spans="1:14" x14ac:dyDescent="0.3">
      <c r="H207">
        <v>200303</v>
      </c>
      <c r="I207">
        <v>175.38</v>
      </c>
    </row>
    <row r="208" spans="1:14" x14ac:dyDescent="0.3">
      <c r="H208">
        <v>200307</v>
      </c>
      <c r="I208">
        <f>3.43+0.12+12.282+0.995+0.26+177.3664</f>
        <v>194.45339999999999</v>
      </c>
      <c r="J208">
        <f>3.43+0.995</f>
        <v>4.4249999999999998</v>
      </c>
    </row>
    <row r="209" spans="8:9" x14ac:dyDescent="0.3">
      <c r="H209">
        <v>7213</v>
      </c>
      <c r="I209">
        <v>85.063999999999993</v>
      </c>
    </row>
    <row r="211" spans="8:9" x14ac:dyDescent="0.3">
      <c r="H211" t="s">
        <v>301</v>
      </c>
      <c r="I211">
        <f>SUM(I203:I210)</f>
        <v>1015.4194</v>
      </c>
    </row>
  </sheetData>
  <autoFilter ref="A1:M200" xr:uid="{60F20D17-2B26-47C0-BA94-607B55D04C42}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D629-C743-4F22-A321-BBFE164B2836}">
  <dimension ref="A1:E84"/>
  <sheetViews>
    <sheetView zoomScale="98" workbookViewId="0">
      <selection activeCell="B15" sqref="B15"/>
    </sheetView>
  </sheetViews>
  <sheetFormatPr defaultColWidth="9.109375" defaultRowHeight="21" x14ac:dyDescent="0.4"/>
  <cols>
    <col min="1" max="1" width="60.44140625" style="230" customWidth="1"/>
    <col min="2" max="5" width="17.33203125" style="230" customWidth="1"/>
    <col min="6" max="16384" width="9.109375" style="62"/>
  </cols>
  <sheetData>
    <row r="1" spans="1:5" ht="25.8" thickBot="1" x14ac:dyDescent="0.45">
      <c r="A1" s="428" t="s">
        <v>430</v>
      </c>
      <c r="B1" s="428"/>
      <c r="C1" s="428"/>
      <c r="D1" s="428"/>
      <c r="E1" s="428"/>
    </row>
    <row r="2" spans="1:5" x14ac:dyDescent="0.4">
      <c r="A2" s="424" t="str">
        <f>Základy!A188</f>
        <v>Výpočet nákladů na provoz překladiště pro ostatní odpad</v>
      </c>
      <c r="B2" s="425"/>
      <c r="C2" s="425"/>
      <c r="D2" s="426">
        <f>Základy!D188</f>
        <v>0</v>
      </c>
      <c r="E2" s="427">
        <f>Základy!G188</f>
        <v>0</v>
      </c>
    </row>
    <row r="3" spans="1:5" x14ac:dyDescent="0.4">
      <c r="A3" s="226"/>
      <c r="B3" s="246">
        <f>Základy!B189</f>
        <v>2021</v>
      </c>
      <c r="C3" s="246">
        <f>Základy!C189</f>
        <v>2022</v>
      </c>
      <c r="D3" s="246">
        <f>Základy!D189</f>
        <v>2023</v>
      </c>
      <c r="E3" s="247" t="str">
        <f>Základy!G189</f>
        <v>1.-9.2024</v>
      </c>
    </row>
    <row r="4" spans="1:5" x14ac:dyDescent="0.4">
      <c r="A4" s="226" t="str">
        <f>Základy!A190</f>
        <v>Obsluha překladiště</v>
      </c>
      <c r="B4" s="267">
        <f>Základy!B190</f>
        <v>799344</v>
      </c>
      <c r="C4" s="267">
        <f>Základy!C190</f>
        <v>828828</v>
      </c>
      <c r="D4" s="267">
        <f>Základy!D190</f>
        <v>897000</v>
      </c>
      <c r="E4" s="268">
        <f>Základy!G190</f>
        <v>720000</v>
      </c>
    </row>
    <row r="5" spans="1:5" x14ac:dyDescent="0.4">
      <c r="A5" s="226" t="str">
        <f>Základy!A191</f>
        <v>Kontejnery bez pronájmu</v>
      </c>
      <c r="B5" s="267">
        <f>Základy!B191</f>
        <v>83000</v>
      </c>
      <c r="C5" s="267">
        <f>Základy!C191</f>
        <v>83000</v>
      </c>
      <c r="D5" s="267">
        <f>Základy!D191</f>
        <v>83000</v>
      </c>
      <c r="E5" s="268">
        <f>Základy!G191</f>
        <v>62250</v>
      </c>
    </row>
    <row r="6" spans="1:5" x14ac:dyDescent="0.4">
      <c r="A6" s="226" t="str">
        <f>Základy!A192</f>
        <v xml:space="preserve">Lisovací kontejner včetně hlavice </v>
      </c>
      <c r="B6" s="267">
        <f>Základy!B192</f>
        <v>112560</v>
      </c>
      <c r="C6" s="267">
        <f>Základy!C192</f>
        <v>112560</v>
      </c>
      <c r="D6" s="267">
        <f>Základy!D192</f>
        <v>112560</v>
      </c>
      <c r="E6" s="268">
        <f>Základy!G192</f>
        <v>84420</v>
      </c>
    </row>
    <row r="7" spans="1:5" x14ac:dyDescent="0.4">
      <c r="A7" s="226" t="str">
        <f>Základy!A193</f>
        <v>Náklady na dopravu ostatního odpadu</v>
      </c>
      <c r="B7" s="267">
        <f>Základy!B193</f>
        <v>406919.33706084476</v>
      </c>
      <c r="C7" s="267">
        <f>Základy!C193</f>
        <v>332617.51460581506</v>
      </c>
      <c r="D7" s="267">
        <f>Základy!D193</f>
        <v>306768.56094398949</v>
      </c>
      <c r="E7" s="268">
        <f>Základy!G193</f>
        <v>291623.88993434294</v>
      </c>
    </row>
    <row r="8" spans="1:5" x14ac:dyDescent="0.4">
      <c r="A8" s="226" t="str">
        <f>Základy!A194</f>
        <v>Opravy kontejnerů -odhad</v>
      </c>
      <c r="B8" s="267">
        <f>Základy!B194</f>
        <v>50000</v>
      </c>
      <c r="C8" s="267">
        <f>Základy!C194</f>
        <v>50000</v>
      </c>
      <c r="D8" s="267">
        <f>Základy!D194</f>
        <v>50000</v>
      </c>
      <c r="E8" s="268">
        <f>Základy!G194</f>
        <v>37500</v>
      </c>
    </row>
    <row r="9" spans="1:5" ht="21.6" thickBot="1" x14ac:dyDescent="0.45">
      <c r="A9" s="227" t="str">
        <f>Základy!A195</f>
        <v>Náklady na provoz překladiště</v>
      </c>
      <c r="B9" s="304">
        <f>Základy!B195</f>
        <v>1451823.3370608448</v>
      </c>
      <c r="C9" s="304">
        <f>Základy!C195</f>
        <v>1407005.5146058151</v>
      </c>
      <c r="D9" s="304">
        <f>Základy!D195</f>
        <v>1449328.5609439895</v>
      </c>
      <c r="E9" s="305">
        <f>Základy!G195</f>
        <v>1195793.8899343428</v>
      </c>
    </row>
    <row r="10" spans="1:5" x14ac:dyDescent="0.4">
      <c r="A10" s="424" t="str">
        <f>Základy!A196</f>
        <v>Výpočet nákladů na provoz překladiště Humpolec pro svážené SKO</v>
      </c>
      <c r="B10" s="425"/>
      <c r="C10" s="425"/>
      <c r="D10" s="426">
        <f>Základy!D196</f>
        <v>0</v>
      </c>
      <c r="E10" s="427">
        <f>Základy!G196</f>
        <v>0</v>
      </c>
    </row>
    <row r="11" spans="1:5" x14ac:dyDescent="0.4">
      <c r="A11" s="226"/>
      <c r="B11" s="246">
        <f>Základy!B197</f>
        <v>2021</v>
      </c>
      <c r="C11" s="246">
        <f>Základy!C197</f>
        <v>2022</v>
      </c>
      <c r="D11" s="246">
        <f>Základy!D197</f>
        <v>2023</v>
      </c>
      <c r="E11" s="247" t="str">
        <f>Základy!G197</f>
        <v>1.-9.2024</v>
      </c>
    </row>
    <row r="12" spans="1:5" x14ac:dyDescent="0.4">
      <c r="A12" s="226" t="str">
        <f>Základy!A198</f>
        <v>Kontejnery pro svoz 6 M + 2 V</v>
      </c>
      <c r="B12" s="238">
        <f>Základy!B198</f>
        <v>132800</v>
      </c>
      <c r="C12" s="238">
        <f>Základy!C198</f>
        <v>132800</v>
      </c>
      <c r="D12" s="238">
        <f>Základy!D198</f>
        <v>132800</v>
      </c>
      <c r="E12" s="239">
        <f>Základy!G198</f>
        <v>99600</v>
      </c>
    </row>
    <row r="13" spans="1:5" x14ac:dyDescent="0.4">
      <c r="A13" s="226" t="str">
        <f>Základy!A199</f>
        <v>Opravy kontejnerů -odhad</v>
      </c>
      <c r="B13" s="238">
        <f>Základy!B199</f>
        <v>50000</v>
      </c>
      <c r="C13" s="238">
        <f>Základy!C199</f>
        <v>50000</v>
      </c>
      <c r="D13" s="238">
        <f>Základy!D199</f>
        <v>50000</v>
      </c>
      <c r="E13" s="239">
        <f>Základy!G199</f>
        <v>37500</v>
      </c>
    </row>
    <row r="14" spans="1:5" x14ac:dyDescent="0.4">
      <c r="A14" s="226" t="str">
        <f>Základy!A200</f>
        <v>Provoz překladiště (traktorbagr, poplatky, odpisy,..)</v>
      </c>
      <c r="B14" s="238">
        <f>Základy!B200</f>
        <v>263994</v>
      </c>
      <c r="C14" s="238">
        <f>Základy!C200</f>
        <v>196988</v>
      </c>
      <c r="D14" s="238">
        <f>Základy!D200</f>
        <v>129982</v>
      </c>
      <c r="E14" s="239">
        <f>Základy!G200</f>
        <v>62976</v>
      </c>
    </row>
    <row r="15" spans="1:5" x14ac:dyDescent="0.4">
      <c r="A15" s="226" t="str">
        <f>Základy!A201</f>
        <v>Náklad na odvoz SKO</v>
      </c>
      <c r="B15" s="238">
        <f>Základy!B201</f>
        <v>1234004.3888742048</v>
      </c>
      <c r="C15" s="238">
        <f>Základy!C201</f>
        <v>1123877.0794446371</v>
      </c>
      <c r="D15" s="238">
        <f>Základy!D201</f>
        <v>1127452.6762549919</v>
      </c>
      <c r="E15" s="239">
        <f>Základy!G201</f>
        <v>778643.15357053676</v>
      </c>
    </row>
    <row r="16" spans="1:5" ht="21.6" thickBot="1" x14ac:dyDescent="0.45">
      <c r="A16" s="227" t="str">
        <f>Základy!A202</f>
        <v>Náklady na překladiště</v>
      </c>
      <c r="B16" s="306">
        <f>Základy!B202</f>
        <v>1680798.3888742048</v>
      </c>
      <c r="C16" s="306">
        <f>Základy!C202</f>
        <v>1503665.0794446371</v>
      </c>
      <c r="D16" s="306">
        <f>Základy!D202</f>
        <v>1440234.6762549919</v>
      </c>
      <c r="E16" s="307">
        <f>Základy!G202</f>
        <v>978719.15357053676</v>
      </c>
    </row>
    <row r="25" spans="1:5" hidden="1" x14ac:dyDescent="0.4"/>
    <row r="26" spans="1:5" ht="25.8" hidden="1" thickBot="1" x14ac:dyDescent="0.45">
      <c r="A26" s="428" t="s">
        <v>386</v>
      </c>
      <c r="B26" s="428"/>
      <c r="C26" s="428"/>
      <c r="D26" s="428"/>
      <c r="E26" s="428"/>
    </row>
    <row r="27" spans="1:5" hidden="1" x14ac:dyDescent="0.4">
      <c r="A27" s="424" t="str">
        <f>Základy!A204</f>
        <v>Výpočet rentability překladiště za město Humpolec pro ostatní odpad</v>
      </c>
      <c r="B27" s="425"/>
      <c r="C27" s="425"/>
      <c r="D27" s="426">
        <f>Základy!D204</f>
        <v>0</v>
      </c>
      <c r="E27" s="427">
        <f>Základy!G204</f>
        <v>0</v>
      </c>
    </row>
    <row r="28" spans="1:5" hidden="1" x14ac:dyDescent="0.4">
      <c r="A28" s="226"/>
      <c r="B28" s="237"/>
      <c r="C28" s="237"/>
      <c r="D28" s="246">
        <f>Základy!D205</f>
        <v>2023</v>
      </c>
      <c r="E28" s="247" t="str">
        <f>Základy!G205</f>
        <v>1.-9.2024</v>
      </c>
    </row>
    <row r="29" spans="1:5" hidden="1" x14ac:dyDescent="0.4">
      <c r="A29" s="226" t="str">
        <f>Základy!A206</f>
        <v>Podíl Humpolce na náklady na provoz překladiště</v>
      </c>
      <c r="B29" s="237"/>
      <c r="C29" s="237"/>
      <c r="D29" s="267">
        <f>Základy!D206</f>
        <v>-695782.77245175524</v>
      </c>
      <c r="E29" s="268">
        <f>Základy!G206</f>
        <v>-577548.60517840832</v>
      </c>
    </row>
    <row r="30" spans="1:5" hidden="1" x14ac:dyDescent="0.4">
      <c r="A30" s="226" t="str">
        <f>Základy!A207</f>
        <v>Vybráno za odpady z Humpolce</v>
      </c>
      <c r="B30" s="237"/>
      <c r="C30" s="237"/>
      <c r="D30" s="267">
        <f>Základy!D207</f>
        <v>493624.57</v>
      </c>
      <c r="E30" s="268">
        <f>Základy!G207</f>
        <v>615562</v>
      </c>
    </row>
    <row r="31" spans="1:5" hidden="1" x14ac:dyDescent="0.4">
      <c r="A31" s="226" t="str">
        <f>Základy!A208</f>
        <v>Odpady na skládku</v>
      </c>
      <c r="B31" s="237"/>
      <c r="C31" s="237"/>
      <c r="D31" s="261">
        <f>Základy!D208</f>
        <v>250</v>
      </c>
      <c r="E31" s="262">
        <f>Základy!G208</f>
        <v>259</v>
      </c>
    </row>
    <row r="32" spans="1:5" hidden="1" x14ac:dyDescent="0.4">
      <c r="A32" s="226" t="str">
        <f>Základy!A209</f>
        <v>Odpady na drcení (třídírna)</v>
      </c>
      <c r="B32" s="237"/>
      <c r="C32" s="237"/>
      <c r="D32" s="261">
        <f>Základy!D209</f>
        <v>170</v>
      </c>
      <c r="E32" s="262">
        <f>Základy!G209</f>
        <v>173</v>
      </c>
    </row>
    <row r="33" spans="1:5" hidden="1" x14ac:dyDescent="0.4">
      <c r="A33" s="226" t="str">
        <f>Základy!A210</f>
        <v>Odpady zdarma</v>
      </c>
      <c r="B33" s="237"/>
      <c r="C33" s="237"/>
      <c r="D33" s="261">
        <f>Základy!D210</f>
        <v>60</v>
      </c>
      <c r="E33" s="262">
        <f>Základy!G210</f>
        <v>57</v>
      </c>
    </row>
    <row r="34" spans="1:5" hidden="1" x14ac:dyDescent="0.4">
      <c r="A34" s="226" t="str">
        <f>Základy!A211</f>
        <v>Likvidace odpadů</v>
      </c>
      <c r="B34" s="237"/>
      <c r="C34" s="237"/>
      <c r="D34" s="267">
        <f>Základy!D211</f>
        <v>-792316.43310275883</v>
      </c>
      <c r="E34" s="268">
        <f>Základy!G211</f>
        <v>-947529.35990348842</v>
      </c>
    </row>
    <row r="35" spans="1:5" hidden="1" x14ac:dyDescent="0.4">
      <c r="A35" s="226" t="str">
        <f>Základy!A212</f>
        <v>Zisk z odpadů za město Humpolec</v>
      </c>
      <c r="B35" s="237"/>
      <c r="C35" s="237"/>
      <c r="D35" s="267">
        <f>Základy!D212</f>
        <v>-298691.86310275883</v>
      </c>
      <c r="E35" s="268">
        <f>Základy!G212</f>
        <v>-331967.35990348842</v>
      </c>
    </row>
    <row r="36" spans="1:5" hidden="1" x14ac:dyDescent="0.4">
      <c r="A36" s="226" t="str">
        <f>Základy!A213</f>
        <v>Humpolec - provoz překladiště</v>
      </c>
      <c r="B36" s="237"/>
      <c r="C36" s="237"/>
      <c r="D36" s="267">
        <f>Základy!D213</f>
        <v>-994474.63555451413</v>
      </c>
      <c r="E36" s="268">
        <f>Základy!G213</f>
        <v>-909515.96508189675</v>
      </c>
    </row>
    <row r="37" spans="1:5" ht="21.6" hidden="1" thickBot="1" x14ac:dyDescent="0.45">
      <c r="A37" s="229" t="str">
        <f>Základy!A214</f>
        <v>Přepočet na rok 2025</v>
      </c>
      <c r="B37" s="264"/>
      <c r="C37" s="264"/>
      <c r="D37" s="265"/>
      <c r="E37" s="305">
        <f>Základy!G214</f>
        <v>-1212687.9534425288</v>
      </c>
    </row>
    <row r="38" spans="1:5" ht="21.6" hidden="1" thickBot="1" x14ac:dyDescent="0.45">
      <c r="D38" s="308"/>
      <c r="E38" s="308"/>
    </row>
    <row r="39" spans="1:5" hidden="1" x14ac:dyDescent="0.4">
      <c r="A39" s="424" t="str">
        <f>Základy!A216</f>
        <v>Výpočet rentability překladiště za město Humpolec pro SKO</v>
      </c>
      <c r="B39" s="425"/>
      <c r="C39" s="425"/>
      <c r="D39" s="426">
        <f>Základy!D216</f>
        <v>0</v>
      </c>
      <c r="E39" s="427">
        <f>Základy!G216</f>
        <v>0</v>
      </c>
    </row>
    <row r="40" spans="1:5" hidden="1" x14ac:dyDescent="0.4">
      <c r="A40" s="226"/>
      <c r="B40" s="237"/>
      <c r="C40" s="237"/>
      <c r="D40" s="309">
        <f>Základy!D217</f>
        <v>2023</v>
      </c>
      <c r="E40" s="310" t="str">
        <f>Základy!G217</f>
        <v>1.-9.2024</v>
      </c>
    </row>
    <row r="41" spans="1:5" hidden="1" x14ac:dyDescent="0.4">
      <c r="A41" s="226" t="str">
        <f>Základy!A218</f>
        <v>Podíl Humpolce na náklady na provoz překladiště</v>
      </c>
      <c r="B41" s="311"/>
      <c r="C41" s="311"/>
      <c r="D41" s="312">
        <f>Základy!D218</f>
        <v>-691796.55193768279</v>
      </c>
      <c r="E41" s="313">
        <f>Základy!G218</f>
        <v>-451636.71528945607</v>
      </c>
    </row>
    <row r="42" spans="1:5" ht="21.6" hidden="1" thickBot="1" x14ac:dyDescent="0.45">
      <c r="A42" s="314" t="str">
        <f>Základy!A219</f>
        <v>Přepočet na rok 2025</v>
      </c>
      <c r="B42" s="315"/>
      <c r="C42" s="315"/>
      <c r="D42" s="316"/>
      <c r="E42" s="317">
        <f>Základy!G219</f>
        <v>-602182.2870526081</v>
      </c>
    </row>
    <row r="43" spans="1:5" ht="21.6" hidden="1" thickBot="1" x14ac:dyDescent="0.45">
      <c r="A43" s="314"/>
      <c r="B43" s="315"/>
      <c r="C43" s="315"/>
      <c r="D43" s="318"/>
      <c r="E43" s="319"/>
    </row>
    <row r="44" spans="1:5" ht="21.6" hidden="1" thickBot="1" x14ac:dyDescent="0.45"/>
    <row r="45" spans="1:5" hidden="1" x14ac:dyDescent="0.4">
      <c r="A45" s="424" t="str">
        <f>Základy!A222</f>
        <v>Výpočet rentability překladiště spojených s městem Humpolec CELKEM</v>
      </c>
      <c r="B45" s="425"/>
      <c r="C45" s="425"/>
      <c r="D45" s="426">
        <f>Základy!D222</f>
        <v>0</v>
      </c>
      <c r="E45" s="427">
        <f>Základy!G222</f>
        <v>0</v>
      </c>
    </row>
    <row r="46" spans="1:5" hidden="1" x14ac:dyDescent="0.4">
      <c r="A46" s="226"/>
      <c r="B46" s="237"/>
      <c r="C46" s="237"/>
      <c r="D46" s="309">
        <f>Základy!D223</f>
        <v>2023</v>
      </c>
      <c r="E46" s="310">
        <f>Základy!G223</f>
        <v>2024</v>
      </c>
    </row>
    <row r="47" spans="1:5" ht="21.6" hidden="1" thickBot="1" x14ac:dyDescent="0.45">
      <c r="A47" s="227" t="str">
        <f>Základy!A224</f>
        <v>Celkem</v>
      </c>
      <c r="B47" s="240"/>
      <c r="C47" s="240"/>
      <c r="D47" s="304">
        <f>Základy!D224</f>
        <v>-1686271.1874921969</v>
      </c>
      <c r="E47" s="305">
        <f>Základy!G224</f>
        <v>-1814870.2404951369</v>
      </c>
    </row>
    <row r="48" spans="1:5" hidden="1" x14ac:dyDescent="0.4">
      <c r="A48" s="232"/>
      <c r="B48" s="232"/>
      <c r="C48" s="232"/>
      <c r="D48" s="320"/>
      <c r="E48" s="320"/>
    </row>
    <row r="49" spans="1:5" ht="21.6" hidden="1" thickBot="1" x14ac:dyDescent="0.45">
      <c r="D49" s="269"/>
      <c r="E49" s="269"/>
    </row>
    <row r="50" spans="1:5" hidden="1" x14ac:dyDescent="0.4">
      <c r="A50" s="424" t="str">
        <f>Základy!A226</f>
        <v>Výpočet rentabily překladiště Humpolec</v>
      </c>
      <c r="B50" s="425"/>
      <c r="C50" s="425"/>
      <c r="D50" s="426"/>
      <c r="E50" s="427"/>
    </row>
    <row r="51" spans="1:5" hidden="1" x14ac:dyDescent="0.4">
      <c r="A51" s="226"/>
      <c r="B51" s="237"/>
      <c r="C51" s="237"/>
      <c r="D51" s="309">
        <f>Základy!D227</f>
        <v>2023</v>
      </c>
      <c r="E51" s="310">
        <f>Základy!G227</f>
        <v>2024</v>
      </c>
    </row>
    <row r="52" spans="1:5" hidden="1" x14ac:dyDescent="0.4">
      <c r="A52" s="226" t="str">
        <f>Základy!A228</f>
        <v>Město Humpolec</v>
      </c>
      <c r="B52" s="237"/>
      <c r="C52" s="237"/>
      <c r="D52" s="267">
        <f>Základy!D228</f>
        <v>-1686271.1874921969</v>
      </c>
      <c r="E52" s="268">
        <f>Základy!G228</f>
        <v>-1814870.2404951369</v>
      </c>
    </row>
    <row r="53" spans="1:5" hidden="1" x14ac:dyDescent="0.4">
      <c r="A53" s="226">
        <f>Základy!A229</f>
        <v>0</v>
      </c>
      <c r="B53" s="237"/>
      <c r="C53" s="237"/>
      <c r="D53" s="267">
        <f>Základy!D229</f>
        <v>2023</v>
      </c>
      <c r="E53" s="268" t="str">
        <f>Základy!G229</f>
        <v>1.-9.2024</v>
      </c>
    </row>
    <row r="54" spans="1:5" hidden="1" x14ac:dyDescent="0.4">
      <c r="A54" s="226" t="str">
        <f>Základy!A230</f>
        <v>Ostatní obce SKO</v>
      </c>
      <c r="B54" s="237"/>
      <c r="C54" s="237"/>
      <c r="D54" s="267">
        <f>Základy!D230</f>
        <v>558471.38430592499</v>
      </c>
      <c r="E54" s="268">
        <f>Základy!G230</f>
        <v>354227.85442117183</v>
      </c>
    </row>
    <row r="55" spans="1:5" hidden="1" x14ac:dyDescent="0.4">
      <c r="A55" s="226" t="str">
        <f>Základy!A231</f>
        <v>Ostatní obce ostatní odpad - provoz překladiště</v>
      </c>
      <c r="B55" s="237"/>
      <c r="C55" s="237"/>
      <c r="D55" s="267">
        <f>Základy!D231</f>
        <v>171548.14164286549</v>
      </c>
      <c r="E55" s="268">
        <f>Základy!G231</f>
        <v>138231.53207123547</v>
      </c>
    </row>
    <row r="56" spans="1:5" hidden="1" x14ac:dyDescent="0.4">
      <c r="A56" s="226" t="str">
        <f>Základy!A232</f>
        <v>Ostatní obce ostatní odpad - výnosy z překladišt</v>
      </c>
      <c r="B56" s="237"/>
      <c r="C56" s="237"/>
      <c r="D56" s="267">
        <f>Základy!D232</f>
        <v>130940.65743557388</v>
      </c>
      <c r="E56" s="268">
        <f>Základy!G232</f>
        <v>70282.137460316357</v>
      </c>
    </row>
    <row r="57" spans="1:5" hidden="1" x14ac:dyDescent="0.4">
      <c r="A57" s="226" t="str">
        <f>Základy!A233</f>
        <v xml:space="preserve">Ostatní obce ostatní odpad </v>
      </c>
      <c r="B57" s="237"/>
      <c r="C57" s="237"/>
      <c r="D57" s="267">
        <f>Základy!D233</f>
        <v>-40607.484207291607</v>
      </c>
      <c r="E57" s="268">
        <f>Základy!G233</f>
        <v>-67949.394610919117</v>
      </c>
    </row>
    <row r="58" spans="1:5" hidden="1" x14ac:dyDescent="0.4">
      <c r="A58" s="226" t="str">
        <f>Základy!A234</f>
        <v>Ostatní obce</v>
      </c>
      <c r="B58" s="237"/>
      <c r="C58" s="237"/>
      <c r="D58" s="267">
        <f>Základy!D234</f>
        <v>-599078.86851321661</v>
      </c>
      <c r="E58" s="268">
        <f>Základy!G234</f>
        <v>-422177.24903209094</v>
      </c>
    </row>
    <row r="59" spans="1:5" hidden="1" x14ac:dyDescent="0.4">
      <c r="A59" s="226" t="str">
        <f>Základy!A235</f>
        <v xml:space="preserve">Ostatní obce přepočet na rok </v>
      </c>
      <c r="B59" s="237"/>
      <c r="C59" s="237"/>
      <c r="D59" s="267">
        <f>Základy!D235</f>
        <v>-599078.86851321661</v>
      </c>
      <c r="E59" s="268">
        <f>Základy!G235</f>
        <v>-562902.99870945455</v>
      </c>
    </row>
    <row r="60" spans="1:5" hidden="1" x14ac:dyDescent="0.4">
      <c r="A60" s="226" t="str">
        <f>Základy!A236</f>
        <v>Podnikatelé SKO</v>
      </c>
      <c r="B60" s="237"/>
      <c r="C60" s="237"/>
      <c r="D60" s="267">
        <f>Základy!D236</f>
        <v>189966.74001138404</v>
      </c>
      <c r="E60" s="268">
        <f>Základy!G236</f>
        <v>172854.58385990895</v>
      </c>
    </row>
    <row r="61" spans="1:5" hidden="1" x14ac:dyDescent="0.4">
      <c r="A61" s="226" t="str">
        <f>Základy!A237</f>
        <v>Podnikatelé ostatní odpad - provoz překladiště</v>
      </c>
      <c r="B61" s="237"/>
      <c r="C61" s="237"/>
      <c r="D61" s="267">
        <f>Základy!D237</f>
        <v>581997.64684936893</v>
      </c>
      <c r="E61" s="268">
        <f>Základy!G237</f>
        <v>480013.75268469902</v>
      </c>
    </row>
    <row r="62" spans="1:5" hidden="1" x14ac:dyDescent="0.4">
      <c r="A62" s="226" t="str">
        <f>Základy!A238</f>
        <v>Podnikatelé ostatní odpad - výnosy překladiště</v>
      </c>
      <c r="B62" s="237"/>
      <c r="C62" s="237"/>
      <c r="D62" s="267">
        <f>Základy!D238</f>
        <v>444231.88601520302</v>
      </c>
      <c r="E62" s="268">
        <f>Základy!G238</f>
        <v>244057.14125806544</v>
      </c>
    </row>
    <row r="63" spans="1:5" hidden="1" x14ac:dyDescent="0.4">
      <c r="A63" s="226" t="str">
        <f>Základy!A239</f>
        <v>Podnikatelé ostatní odpad</v>
      </c>
      <c r="B63" s="237"/>
      <c r="C63" s="237"/>
      <c r="D63" s="267">
        <f>Základy!D239</f>
        <v>-137765.76083416591</v>
      </c>
      <c r="E63" s="268">
        <f>Základy!G239</f>
        <v>-235956.61142663358</v>
      </c>
    </row>
    <row r="64" spans="1:5" hidden="1" x14ac:dyDescent="0.4">
      <c r="A64" s="226" t="str">
        <f>Základy!A240</f>
        <v>Podnikatelé</v>
      </c>
      <c r="B64" s="237"/>
      <c r="C64" s="237"/>
      <c r="D64" s="267">
        <f>Základy!D240</f>
        <v>-327732.50084554998</v>
      </c>
      <c r="E64" s="268">
        <f>Základy!G240</f>
        <v>-408811.19528654253</v>
      </c>
    </row>
    <row r="65" spans="1:5" hidden="1" x14ac:dyDescent="0.4">
      <c r="A65" s="226" t="str">
        <f>Základy!A241</f>
        <v xml:space="preserve">Podnikatelé přepočet na rok </v>
      </c>
      <c r="B65" s="237"/>
      <c r="C65" s="237"/>
      <c r="D65" s="267">
        <f>Základy!D241</f>
        <v>-327732.50084554998</v>
      </c>
      <c r="E65" s="268">
        <f>Základy!G241</f>
        <v>-545081.59371538996</v>
      </c>
    </row>
    <row r="66" spans="1:5" ht="21.6" hidden="1" thickBot="1" x14ac:dyDescent="0.45">
      <c r="A66" s="227" t="str">
        <f>Základy!A242</f>
        <v>Celkem</v>
      </c>
      <c r="B66" s="240"/>
      <c r="C66" s="240"/>
      <c r="D66" s="304">
        <f>Základy!D242</f>
        <v>-2613082.5568509637</v>
      </c>
      <c r="E66" s="305">
        <f>Základy!G242</f>
        <v>-2922854.8329199813</v>
      </c>
    </row>
    <row r="67" spans="1:5" ht="21.6" hidden="1" thickBot="1" x14ac:dyDescent="0.45"/>
    <row r="68" spans="1:5" hidden="1" x14ac:dyDescent="0.4">
      <c r="A68" s="424" t="str">
        <f>Základy!A244</f>
        <v>Žádost o úhradu nákladů nad rámec solidarity systému</v>
      </c>
      <c r="B68" s="425"/>
      <c r="C68" s="425"/>
      <c r="D68" s="426">
        <f>Základy!D244</f>
        <v>0</v>
      </c>
      <c r="E68" s="427">
        <f>Základy!G244</f>
        <v>0</v>
      </c>
    </row>
    <row r="69" spans="1:5" hidden="1" x14ac:dyDescent="0.4">
      <c r="A69" s="226" t="str">
        <f>Základy!A245</f>
        <v>Obce v rámci překladiště Humpolec</v>
      </c>
      <c r="B69" s="237"/>
      <c r="C69" s="237"/>
      <c r="D69" s="321">
        <f>Základy!D245</f>
        <v>-599078.86851321661</v>
      </c>
      <c r="E69" s="322">
        <f>Základy!G245</f>
        <v>-562902.99870945455</v>
      </c>
    </row>
    <row r="70" spans="1:5" hidden="1" x14ac:dyDescent="0.4">
      <c r="A70" s="231" t="str">
        <f>Základy!A246</f>
        <v>Město Humpolec</v>
      </c>
      <c r="B70" s="294"/>
      <c r="C70" s="294"/>
      <c r="D70" s="323">
        <f>Základy!D246</f>
        <v>-1686271.1874921969</v>
      </c>
      <c r="E70" s="324">
        <f>Základy!G246</f>
        <v>-1814870.2404951369</v>
      </c>
    </row>
    <row r="71" spans="1:5" hidden="1" x14ac:dyDescent="0.4">
      <c r="A71" s="231" t="str">
        <f>Základy!A247</f>
        <v>Obce v rámci překladiště Humpolec</v>
      </c>
      <c r="B71" s="294"/>
      <c r="C71" s="294"/>
      <c r="D71" s="325">
        <f>Základy!D247</f>
        <v>20415</v>
      </c>
      <c r="E71" s="326">
        <f>Základy!G247</f>
        <v>21212</v>
      </c>
    </row>
    <row r="72" spans="1:5" hidden="1" x14ac:dyDescent="0.4">
      <c r="A72" s="231" t="str">
        <f>Základy!A248</f>
        <v>Město Humpolec</v>
      </c>
      <c r="B72" s="294"/>
      <c r="C72" s="294"/>
      <c r="D72" s="325">
        <f>Základy!D248</f>
        <v>11296</v>
      </c>
      <c r="E72" s="326">
        <f>Základy!G248</f>
        <v>11888</v>
      </c>
    </row>
    <row r="73" spans="1:5" hidden="1" x14ac:dyDescent="0.4">
      <c r="A73" s="231" t="str">
        <f>Základy!A249</f>
        <v>Obce v rámci překladiště Humpolec - bez Humpolce</v>
      </c>
      <c r="B73" s="294"/>
      <c r="C73" s="294"/>
      <c r="D73" s="325">
        <f>Základy!D249</f>
        <v>9119</v>
      </c>
      <c r="E73" s="326">
        <f>Základy!G249</f>
        <v>9324</v>
      </c>
    </row>
    <row r="74" spans="1:5" hidden="1" x14ac:dyDescent="0.4">
      <c r="A74" s="231" t="str">
        <f>Základy!A250</f>
        <v>Obce v rámci překladiště Humpolec</v>
      </c>
      <c r="B74" s="294"/>
      <c r="C74" s="294"/>
      <c r="D74" s="327">
        <f>Základy!D250</f>
        <v>0.44668136174381584</v>
      </c>
      <c r="E74" s="328">
        <f>Základy!G250</f>
        <v>0.43956251178578165</v>
      </c>
    </row>
    <row r="75" spans="1:5" hidden="1" x14ac:dyDescent="0.4">
      <c r="A75" s="231" t="str">
        <f>Základy!A251</f>
        <v>Město Humpolec</v>
      </c>
      <c r="B75" s="294"/>
      <c r="C75" s="294"/>
      <c r="D75" s="327">
        <f>Základy!D251</f>
        <v>0.55331863825618421</v>
      </c>
      <c r="E75" s="328">
        <f>Základy!G251</f>
        <v>0.56043748821421835</v>
      </c>
    </row>
    <row r="76" spans="1:5" hidden="1" x14ac:dyDescent="0.4">
      <c r="A76" s="231" t="str">
        <f>Základy!A253</f>
        <v>Poměr solidarity pro město Humpolec</v>
      </c>
      <c r="B76" s="294"/>
      <c r="C76" s="294"/>
      <c r="D76" s="329">
        <f>Základy!D253</f>
        <v>-742098.35494300851</v>
      </c>
      <c r="E76" s="330">
        <f>Základy!G253</f>
        <v>-717695.28621385619</v>
      </c>
    </row>
    <row r="77" spans="1:5" ht="28.8" hidden="1" thickBot="1" x14ac:dyDescent="0.55000000000000004">
      <c r="A77" s="229" t="str">
        <f>Základy!A255</f>
        <v>Náklady nad rámec solidarity systému</v>
      </c>
      <c r="B77" s="264"/>
      <c r="C77" s="264"/>
      <c r="D77" s="331">
        <f>Základy!D255</f>
        <v>-944172.8325491884</v>
      </c>
      <c r="E77" s="332">
        <f>Základy!G255</f>
        <v>-1097174.9542812807</v>
      </c>
    </row>
    <row r="78" spans="1:5" ht="21.6" hidden="1" thickBot="1" x14ac:dyDescent="0.45"/>
    <row r="79" spans="1:5" hidden="1" x14ac:dyDescent="0.4">
      <c r="A79" s="424" t="str">
        <f>Základy!A259</f>
        <v>Solidarita systému</v>
      </c>
      <c r="B79" s="425"/>
      <c r="C79" s="425"/>
      <c r="D79" s="426">
        <f>Základy!D259</f>
        <v>0</v>
      </c>
      <c r="E79" s="427">
        <f>Základy!G259</f>
        <v>0</v>
      </c>
    </row>
    <row r="80" spans="1:5" hidden="1" x14ac:dyDescent="0.4">
      <c r="A80" s="226"/>
      <c r="B80" s="237"/>
      <c r="C80" s="237"/>
      <c r="D80" s="246">
        <f>Základy!D260</f>
        <v>2023</v>
      </c>
      <c r="E80" s="247">
        <f>Základy!G260</f>
        <v>2024</v>
      </c>
    </row>
    <row r="81" spans="1:5" hidden="1" x14ac:dyDescent="0.4">
      <c r="A81" s="333" t="str">
        <f>Základy!A261</f>
        <v>Výše poplatku</v>
      </c>
      <c r="B81" s="334"/>
      <c r="C81" s="334"/>
      <c r="D81" s="335">
        <f>Základy!D261</f>
        <v>641</v>
      </c>
      <c r="E81" s="336">
        <f>Základy!G261</f>
        <v>681</v>
      </c>
    </row>
    <row r="82" spans="1:5" hidden="1" x14ac:dyDescent="0.4">
      <c r="A82" s="226" t="str">
        <f>Základy!A262</f>
        <v>PROVOZ PŘEKLADIŠTĚ - současný stav</v>
      </c>
      <c r="B82" s="237"/>
      <c r="C82" s="237"/>
      <c r="D82" s="337">
        <f>Základy!D262</f>
        <v>38.991163174868859</v>
      </c>
      <c r="E82" s="338">
        <f>Základy!G262</f>
        <v>24.381632592521367</v>
      </c>
    </row>
    <row r="83" spans="1:5" ht="21.6" hidden="1" thickBot="1" x14ac:dyDescent="0.45">
      <c r="A83" s="229" t="e">
        <f>Základy!#REF!</f>
        <v>#REF!</v>
      </c>
      <c r="B83" s="264"/>
      <c r="C83" s="264"/>
      <c r="D83" s="265" t="e">
        <f>Základy!#REF!</f>
        <v>#REF!</v>
      </c>
      <c r="E83" s="339" t="e">
        <f>Základy!#REF!</f>
        <v>#REF!</v>
      </c>
    </row>
    <row r="84" spans="1:5" hidden="1" x14ac:dyDescent="0.4"/>
  </sheetData>
  <mergeCells count="10">
    <mergeCell ref="A50:E50"/>
    <mergeCell ref="A68:E68"/>
    <mergeCell ref="A79:E79"/>
    <mergeCell ref="A1:E1"/>
    <mergeCell ref="A2:E2"/>
    <mergeCell ref="A10:E10"/>
    <mergeCell ref="A26:E26"/>
    <mergeCell ref="A27:E27"/>
    <mergeCell ref="A39:E39"/>
    <mergeCell ref="A45:E4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9C7B-D2D6-4081-AA47-63C58B93D6D9}">
  <dimension ref="A1:G85"/>
  <sheetViews>
    <sheetView topLeftCell="A51" zoomScale="98" workbookViewId="0">
      <selection activeCell="A81" sqref="A81:G81"/>
    </sheetView>
  </sheetViews>
  <sheetFormatPr defaultColWidth="9.109375" defaultRowHeight="21" x14ac:dyDescent="0.4"/>
  <cols>
    <col min="1" max="1" width="59.44140625" style="230" customWidth="1"/>
    <col min="2" max="5" width="16.88671875" style="230" customWidth="1"/>
    <col min="6" max="6" width="21.5546875" style="230" customWidth="1"/>
    <col min="7" max="7" width="16.88671875" style="230" customWidth="1"/>
    <col min="8" max="16384" width="9.109375" style="62"/>
  </cols>
  <sheetData>
    <row r="1" spans="1:7" hidden="1" x14ac:dyDescent="0.4">
      <c r="A1" s="424" t="str">
        <f>Základy!A188</f>
        <v>Výpočet nákladů na provoz překladiště pro ostatní odpad</v>
      </c>
      <c r="B1" s="425"/>
      <c r="C1" s="425"/>
      <c r="D1" s="426">
        <f>Základy!D188</f>
        <v>0</v>
      </c>
      <c r="E1" s="455"/>
      <c r="F1" s="455"/>
      <c r="G1" s="427">
        <f>Základy!G188</f>
        <v>0</v>
      </c>
    </row>
    <row r="2" spans="1:7" hidden="1" x14ac:dyDescent="0.4">
      <c r="A2" s="226"/>
      <c r="B2" s="237"/>
      <c r="C2" s="237"/>
      <c r="D2" s="246">
        <f>Základy!D189</f>
        <v>2023</v>
      </c>
      <c r="E2" s="456"/>
      <c r="F2" s="456"/>
      <c r="G2" s="247" t="str">
        <f>Základy!G189</f>
        <v>1.-9.2024</v>
      </c>
    </row>
    <row r="3" spans="1:7" hidden="1" x14ac:dyDescent="0.4">
      <c r="A3" s="226" t="str">
        <f>Základy!A190</f>
        <v>Obsluha překladiště</v>
      </c>
      <c r="B3" s="237"/>
      <c r="C3" s="237"/>
      <c r="D3" s="267">
        <f>Základy!D190</f>
        <v>897000</v>
      </c>
      <c r="E3" s="457"/>
      <c r="F3" s="457"/>
      <c r="G3" s="268">
        <f>Základy!G190</f>
        <v>720000</v>
      </c>
    </row>
    <row r="4" spans="1:7" hidden="1" x14ac:dyDescent="0.4">
      <c r="A4" s="226" t="str">
        <f>Základy!A191</f>
        <v>Kontejnery bez pronájmu</v>
      </c>
      <c r="B4" s="237"/>
      <c r="C4" s="237"/>
      <c r="D4" s="267">
        <f>Základy!D191</f>
        <v>83000</v>
      </c>
      <c r="E4" s="457"/>
      <c r="F4" s="457"/>
      <c r="G4" s="268">
        <f>Základy!G191</f>
        <v>62250</v>
      </c>
    </row>
    <row r="5" spans="1:7" hidden="1" x14ac:dyDescent="0.4">
      <c r="A5" s="226" t="str">
        <f>Základy!A192</f>
        <v xml:space="preserve">Lisovací kontejner včetně hlavice </v>
      </c>
      <c r="B5" s="237"/>
      <c r="C5" s="237"/>
      <c r="D5" s="267">
        <f>Základy!D192</f>
        <v>112560</v>
      </c>
      <c r="E5" s="457"/>
      <c r="F5" s="457"/>
      <c r="G5" s="268">
        <f>Základy!G192</f>
        <v>84420</v>
      </c>
    </row>
    <row r="6" spans="1:7" hidden="1" x14ac:dyDescent="0.4">
      <c r="A6" s="226" t="str">
        <f>Základy!A193</f>
        <v>Náklady na dopravu ostatního odpadu</v>
      </c>
      <c r="B6" s="237"/>
      <c r="C6" s="237"/>
      <c r="D6" s="267">
        <f>Základy!D193</f>
        <v>306768.56094398949</v>
      </c>
      <c r="E6" s="457"/>
      <c r="F6" s="457"/>
      <c r="G6" s="268">
        <f>Základy!G193</f>
        <v>291623.88993434294</v>
      </c>
    </row>
    <row r="7" spans="1:7" hidden="1" x14ac:dyDescent="0.4">
      <c r="A7" s="226" t="str">
        <f>Základy!A194</f>
        <v>Opravy kontejnerů -odhad</v>
      </c>
      <c r="B7" s="237"/>
      <c r="C7" s="237"/>
      <c r="D7" s="267">
        <f>Základy!D194</f>
        <v>50000</v>
      </c>
      <c r="E7" s="457"/>
      <c r="F7" s="457"/>
      <c r="G7" s="268">
        <f>Základy!G194</f>
        <v>37500</v>
      </c>
    </row>
    <row r="8" spans="1:7" ht="21.6" hidden="1" thickBot="1" x14ac:dyDescent="0.45">
      <c r="A8" s="227" t="str">
        <f>Základy!A195</f>
        <v>Náklady na provoz překladiště</v>
      </c>
      <c r="B8" s="240"/>
      <c r="C8" s="240"/>
      <c r="D8" s="304">
        <f>Základy!D195</f>
        <v>1449328.5609439895</v>
      </c>
      <c r="E8" s="458"/>
      <c r="F8" s="458"/>
      <c r="G8" s="305">
        <f>Základy!G195</f>
        <v>1195793.8899343428</v>
      </c>
    </row>
    <row r="9" spans="1:7" hidden="1" x14ac:dyDescent="0.4">
      <c r="A9" s="424" t="str">
        <f>Základy!A196</f>
        <v>Výpočet nákladů na provoz překladiště Humpolec pro svážené SKO</v>
      </c>
      <c r="B9" s="425"/>
      <c r="C9" s="425"/>
      <c r="D9" s="426">
        <f>Základy!D196</f>
        <v>0</v>
      </c>
      <c r="E9" s="455"/>
      <c r="F9" s="455"/>
      <c r="G9" s="427">
        <f>Základy!G196</f>
        <v>0</v>
      </c>
    </row>
    <row r="10" spans="1:7" hidden="1" x14ac:dyDescent="0.4">
      <c r="A10" s="226"/>
      <c r="B10" s="237"/>
      <c r="C10" s="237"/>
      <c r="D10" s="246">
        <f>Základy!D197</f>
        <v>2023</v>
      </c>
      <c r="E10" s="456"/>
      <c r="F10" s="456"/>
      <c r="G10" s="247" t="str">
        <f>Základy!G197</f>
        <v>1.-9.2024</v>
      </c>
    </row>
    <row r="11" spans="1:7" hidden="1" x14ac:dyDescent="0.4">
      <c r="A11" s="226" t="str">
        <f>Základy!A198</f>
        <v>Kontejnery pro svoz 6 M + 2 V</v>
      </c>
      <c r="B11" s="237"/>
      <c r="C11" s="237"/>
      <c r="D11" s="238">
        <f>Základy!D198</f>
        <v>132800</v>
      </c>
      <c r="E11" s="459"/>
      <c r="F11" s="459"/>
      <c r="G11" s="239">
        <f>Základy!G198</f>
        <v>99600</v>
      </c>
    </row>
    <row r="12" spans="1:7" hidden="1" x14ac:dyDescent="0.4">
      <c r="A12" s="226" t="str">
        <f>Základy!A199</f>
        <v>Opravy kontejnerů -odhad</v>
      </c>
      <c r="B12" s="237"/>
      <c r="C12" s="237"/>
      <c r="D12" s="238">
        <f>Základy!D199</f>
        <v>50000</v>
      </c>
      <c r="E12" s="459"/>
      <c r="F12" s="459"/>
      <c r="G12" s="239">
        <f>Základy!G199</f>
        <v>37500</v>
      </c>
    </row>
    <row r="13" spans="1:7" hidden="1" x14ac:dyDescent="0.4">
      <c r="A13" s="226" t="str">
        <f>Základy!A200</f>
        <v>Provoz překladiště (traktorbagr, poplatky, odpisy,..)</v>
      </c>
      <c r="B13" s="237"/>
      <c r="C13" s="237"/>
      <c r="D13" s="238">
        <f>Základy!D200</f>
        <v>129982</v>
      </c>
      <c r="E13" s="459"/>
      <c r="F13" s="459"/>
      <c r="G13" s="239">
        <f>Základy!G200</f>
        <v>62976</v>
      </c>
    </row>
    <row r="14" spans="1:7" hidden="1" x14ac:dyDescent="0.4">
      <c r="A14" s="226" t="str">
        <f>Základy!A201</f>
        <v>Náklad na odvoz SKO</v>
      </c>
      <c r="B14" s="237"/>
      <c r="C14" s="237"/>
      <c r="D14" s="238">
        <f>Základy!D201</f>
        <v>1127452.6762549919</v>
      </c>
      <c r="E14" s="459"/>
      <c r="F14" s="459"/>
      <c r="G14" s="239">
        <f>Základy!G201</f>
        <v>778643.15357053676</v>
      </c>
    </row>
    <row r="15" spans="1:7" ht="21.6" hidden="1" thickBot="1" x14ac:dyDescent="0.45">
      <c r="A15" s="227" t="str">
        <f>Základy!A202</f>
        <v>Náklady na překladiště</v>
      </c>
      <c r="B15" s="240"/>
      <c r="C15" s="240"/>
      <c r="D15" s="306">
        <f>Základy!D202</f>
        <v>1440234.6762549919</v>
      </c>
      <c r="E15" s="460"/>
      <c r="F15" s="460"/>
      <c r="G15" s="307">
        <f>Základy!G202</f>
        <v>978719.15357053676</v>
      </c>
    </row>
    <row r="16" spans="1:7" hidden="1" x14ac:dyDescent="0.4"/>
    <row r="17" spans="1:7" hidden="1" x14ac:dyDescent="0.4"/>
    <row r="18" spans="1:7" hidden="1" x14ac:dyDescent="0.4"/>
    <row r="19" spans="1:7" hidden="1" x14ac:dyDescent="0.4"/>
    <row r="20" spans="1:7" hidden="1" x14ac:dyDescent="0.4"/>
    <row r="21" spans="1:7" hidden="1" x14ac:dyDescent="0.4"/>
    <row r="22" spans="1:7" hidden="1" x14ac:dyDescent="0.4"/>
    <row r="23" spans="1:7" hidden="1" x14ac:dyDescent="0.4"/>
    <row r="24" spans="1:7" hidden="1" x14ac:dyDescent="0.4"/>
    <row r="25" spans="1:7" ht="21.75" customHeight="1" thickBot="1" x14ac:dyDescent="0.45">
      <c r="A25" s="428" t="s">
        <v>386</v>
      </c>
      <c r="B25" s="428"/>
      <c r="C25" s="428"/>
      <c r="D25" s="428"/>
      <c r="E25" s="428"/>
      <c r="F25" s="428"/>
      <c r="G25" s="428"/>
    </row>
    <row r="26" spans="1:7" x14ac:dyDescent="0.4">
      <c r="A26" s="424" t="str">
        <f>Základy!A204</f>
        <v>Výpočet rentability překladiště za město Humpolec pro ostatní odpad</v>
      </c>
      <c r="B26" s="425"/>
      <c r="C26" s="425"/>
      <c r="D26" s="426">
        <f>Základy!D204</f>
        <v>0</v>
      </c>
      <c r="E26" s="455"/>
      <c r="F26" s="455"/>
      <c r="G26" s="427">
        <f>Základy!G204</f>
        <v>0</v>
      </c>
    </row>
    <row r="27" spans="1:7" x14ac:dyDescent="0.4">
      <c r="A27" s="226"/>
      <c r="B27" s="246">
        <f>Základy!B205</f>
        <v>2021</v>
      </c>
      <c r="C27" s="246">
        <f>Základy!C205</f>
        <v>2022</v>
      </c>
      <c r="D27" s="246">
        <f>Základy!D205</f>
        <v>2023</v>
      </c>
      <c r="E27" s="456">
        <v>2024</v>
      </c>
      <c r="F27" s="456" t="s">
        <v>468</v>
      </c>
      <c r="G27" s="247" t="str">
        <f>Základy!G205</f>
        <v>1.-9.2024</v>
      </c>
    </row>
    <row r="28" spans="1:7" x14ac:dyDescent="0.4">
      <c r="A28" s="226" t="str">
        <f>Základy!A206</f>
        <v>Podíl Humpolce na náklady na provoz překladiště</v>
      </c>
      <c r="B28" s="267">
        <f>Základy!B206</f>
        <v>-820905.00793923205</v>
      </c>
      <c r="C28" s="267">
        <f>Základy!C206</f>
        <v>-777330.88708057604</v>
      </c>
      <c r="D28" s="267">
        <f>Základy!D206</f>
        <v>-695782.77245175524</v>
      </c>
      <c r="E28" s="267">
        <f>Základy!E206</f>
        <v>-764478.02408399724</v>
      </c>
      <c r="F28" s="267">
        <f>Základy!F206</f>
        <v>-603470.91891880159</v>
      </c>
      <c r="G28" s="268">
        <f>Základy!G206</f>
        <v>-577548.60517840832</v>
      </c>
    </row>
    <row r="29" spans="1:7" hidden="1" x14ac:dyDescent="0.4">
      <c r="A29" s="226" t="str">
        <f>Základy!A207</f>
        <v>Vybráno za odpady z Humpolce</v>
      </c>
      <c r="B29" s="267">
        <f>Základy!B207</f>
        <v>424103</v>
      </c>
      <c r="C29" s="267">
        <f>Základy!C207</f>
        <v>395503</v>
      </c>
      <c r="D29" s="267">
        <f>Základy!D207</f>
        <v>493624.57</v>
      </c>
      <c r="E29" s="267">
        <f>Základy!E207</f>
        <v>812294.4</v>
      </c>
      <c r="F29" s="267">
        <f>Základy!F207</f>
        <v>894946.3</v>
      </c>
      <c r="G29" s="268">
        <f>Základy!G207</f>
        <v>615562</v>
      </c>
    </row>
    <row r="30" spans="1:7" hidden="1" x14ac:dyDescent="0.4">
      <c r="A30" s="226" t="str">
        <f>Základy!A208</f>
        <v>Odpady na skládku</v>
      </c>
      <c r="B30" s="261">
        <f>Základy!B208</f>
        <v>660</v>
      </c>
      <c r="C30" s="261">
        <f>Základy!C208</f>
        <v>567</v>
      </c>
      <c r="D30" s="261">
        <f>Základy!D208</f>
        <v>250</v>
      </c>
      <c r="E30" s="261">
        <f>Základy!E208</f>
        <v>342.68</v>
      </c>
      <c r="F30" s="261">
        <f>Základy!F208</f>
        <v>181.5</v>
      </c>
      <c r="G30" s="262">
        <f>Základy!G208</f>
        <v>259</v>
      </c>
    </row>
    <row r="31" spans="1:7" hidden="1" x14ac:dyDescent="0.4">
      <c r="A31" s="226" t="str">
        <f>Základy!A209</f>
        <v>Odpady na drcení (třídírna)</v>
      </c>
      <c r="B31" s="261">
        <f>Základy!B209</f>
        <v>0</v>
      </c>
      <c r="C31" s="261">
        <f>Základy!C209</f>
        <v>0</v>
      </c>
      <c r="D31" s="261">
        <f>Základy!D209</f>
        <v>170</v>
      </c>
      <c r="E31" s="261">
        <f>Základy!E209</f>
        <v>227.82300000000001</v>
      </c>
      <c r="F31" s="261">
        <f>Základy!F209</f>
        <v>192.69800000000001</v>
      </c>
      <c r="G31" s="262">
        <f>Základy!G209</f>
        <v>173</v>
      </c>
    </row>
    <row r="32" spans="1:7" hidden="1" x14ac:dyDescent="0.4">
      <c r="A32" s="226" t="str">
        <f>Základy!A210</f>
        <v>Odpady zdarma</v>
      </c>
      <c r="B32" s="261">
        <f>Základy!B210</f>
        <v>148</v>
      </c>
      <c r="C32" s="261">
        <f>Základy!C210</f>
        <v>70</v>
      </c>
      <c r="D32" s="261">
        <f>Základy!D210</f>
        <v>60</v>
      </c>
      <c r="E32" s="261">
        <f>Základy!E210</f>
        <v>63.71</v>
      </c>
      <c r="F32" s="261">
        <f>Základy!F210</f>
        <v>41.91</v>
      </c>
      <c r="G32" s="262">
        <f>Základy!G210</f>
        <v>57</v>
      </c>
    </row>
    <row r="33" spans="1:7" hidden="1" x14ac:dyDescent="0.4">
      <c r="A33" s="226" t="str">
        <f>Základy!A211</f>
        <v>Likvidace odpadů</v>
      </c>
      <c r="B33" s="267">
        <f>Základy!B211</f>
        <v>-338168.15199814894</v>
      </c>
      <c r="C33" s="267">
        <f>Základy!C211</f>
        <v>-307778.27343434148</v>
      </c>
      <c r="D33" s="267">
        <f>Základy!D211</f>
        <v>-792316.43310275883</v>
      </c>
      <c r="E33" s="267">
        <f>Základy!E211</f>
        <v>-1214287.6234783905</v>
      </c>
      <c r="F33" s="267">
        <f>Základy!F211</f>
        <v>-947102.87895275839</v>
      </c>
      <c r="G33" s="268">
        <f>Základy!G211</f>
        <v>-947529.35990348842</v>
      </c>
    </row>
    <row r="34" spans="1:7" x14ac:dyDescent="0.4">
      <c r="A34" s="226" t="str">
        <f>Základy!A212</f>
        <v>Zisk z odpadů za město Humpolec</v>
      </c>
      <c r="B34" s="267">
        <f>Základy!B212</f>
        <v>85934.84800185106</v>
      </c>
      <c r="C34" s="267">
        <f>Základy!C212</f>
        <v>87724.726565658522</v>
      </c>
      <c r="D34" s="267">
        <f>Základy!D212</f>
        <v>-298691.86310275883</v>
      </c>
      <c r="E34" s="267">
        <f>Základy!E212</f>
        <v>-401993.22347839049</v>
      </c>
      <c r="F34" s="267">
        <f>Základy!F212</f>
        <v>-52156.57895275834</v>
      </c>
      <c r="G34" s="268">
        <f>Základy!G212</f>
        <v>-331967.35990348842</v>
      </c>
    </row>
    <row r="35" spans="1:7" x14ac:dyDescent="0.4">
      <c r="A35" s="226" t="str">
        <f>Základy!A213</f>
        <v>Humpolec - provoz překladiště</v>
      </c>
      <c r="B35" s="267">
        <f>Základy!B213</f>
        <v>-734970.15993738105</v>
      </c>
      <c r="C35" s="267">
        <f>Základy!C213</f>
        <v>-689606.16051491746</v>
      </c>
      <c r="D35" s="267">
        <f>Základy!D213</f>
        <v>-994474.63555451413</v>
      </c>
      <c r="E35" s="267">
        <f>Základy!E213</f>
        <v>-1166471.2475623877</v>
      </c>
      <c r="F35" s="267">
        <f>Základy!F213</f>
        <v>-655627.49787155993</v>
      </c>
      <c r="G35" s="268">
        <f>Základy!G213</f>
        <v>-909515.96508189675</v>
      </c>
    </row>
    <row r="36" spans="1:7" ht="21.6" thickBot="1" x14ac:dyDescent="0.45">
      <c r="A36" s="229" t="str">
        <f>Základy!A214</f>
        <v>Přepočet na rok 2025</v>
      </c>
      <c r="B36" s="265"/>
      <c r="C36" s="265"/>
      <c r="D36" s="265"/>
      <c r="E36" s="461"/>
      <c r="F36" s="305">
        <f>Základy!F214</f>
        <v>-874169.9971620799</v>
      </c>
      <c r="G36" s="305">
        <f>Základy!G214</f>
        <v>-1212687.9534425288</v>
      </c>
    </row>
    <row r="37" spans="1:7" ht="21.6" thickBot="1" x14ac:dyDescent="0.45">
      <c r="D37" s="308"/>
      <c r="E37" s="308"/>
      <c r="F37" s="308"/>
      <c r="G37" s="308"/>
    </row>
    <row r="38" spans="1:7" x14ac:dyDescent="0.4">
      <c r="A38" s="424" t="str">
        <f>Základy!A216</f>
        <v>Výpočet rentability překladiště za město Humpolec pro SKO</v>
      </c>
      <c r="B38" s="425"/>
      <c r="C38" s="425"/>
      <c r="D38" s="426">
        <f>Základy!D216</f>
        <v>0</v>
      </c>
      <c r="E38" s="455"/>
      <c r="F38" s="455"/>
      <c r="G38" s="427">
        <f>Základy!G216</f>
        <v>0</v>
      </c>
    </row>
    <row r="39" spans="1:7" x14ac:dyDescent="0.4">
      <c r="A39" s="226"/>
      <c r="B39" s="246">
        <f>Základy!B217</f>
        <v>2021</v>
      </c>
      <c r="C39" s="246">
        <f>Základy!C217</f>
        <v>2022</v>
      </c>
      <c r="D39" s="246">
        <f>Základy!D217</f>
        <v>2023</v>
      </c>
      <c r="E39" s="456">
        <v>2024</v>
      </c>
      <c r="F39" s="456" t="s">
        <v>474</v>
      </c>
      <c r="G39" s="247" t="str">
        <f>Základy!G217</f>
        <v>1.-9.2024</v>
      </c>
    </row>
    <row r="40" spans="1:7" x14ac:dyDescent="0.4">
      <c r="A40" s="226" t="str">
        <f>Základy!A218</f>
        <v>Podíl Humpolce na náklady na provoz překladiště</v>
      </c>
      <c r="B40" s="312">
        <f>Základy!B218</f>
        <v>-811165.72833256784</v>
      </c>
      <c r="C40" s="312">
        <f>Základy!C218</f>
        <v>-744479.31322412624</v>
      </c>
      <c r="D40" s="312">
        <f>Základy!D218</f>
        <v>-691796.55193768279</v>
      </c>
      <c r="E40" s="312">
        <f>Základy!E218</f>
        <v>-697939.23026619491</v>
      </c>
      <c r="F40" s="312">
        <f>Základy!F218</f>
        <v>-682207.21780896455</v>
      </c>
      <c r="G40" s="313">
        <f>Základy!G218</f>
        <v>-451636.71528945607</v>
      </c>
    </row>
    <row r="41" spans="1:7" ht="21.6" thickBot="1" x14ac:dyDescent="0.45">
      <c r="A41" s="314" t="str">
        <f>Základy!A219</f>
        <v>Přepočet na rok 2025</v>
      </c>
      <c r="B41" s="316"/>
      <c r="C41" s="316"/>
      <c r="D41" s="316"/>
      <c r="E41" s="462"/>
      <c r="F41" s="317">
        <f>Základy!F219</f>
        <v>-909609.62374528614</v>
      </c>
      <c r="G41" s="317">
        <f>Základy!G219</f>
        <v>-602182.2870526081</v>
      </c>
    </row>
    <row r="42" spans="1:7" ht="21.6" thickBot="1" x14ac:dyDescent="0.45">
      <c r="A42" s="314"/>
      <c r="B42" s="315"/>
      <c r="C42" s="315"/>
      <c r="D42" s="318"/>
      <c r="E42" s="463"/>
      <c r="F42" s="463"/>
      <c r="G42" s="319"/>
    </row>
    <row r="43" spans="1:7" ht="21.6" thickBot="1" x14ac:dyDescent="0.45"/>
    <row r="44" spans="1:7" x14ac:dyDescent="0.4">
      <c r="A44" s="424" t="str">
        <f>Základy!A222</f>
        <v>Výpočet rentability překladiště spojených s městem Humpolec CELKEM</v>
      </c>
      <c r="B44" s="425"/>
      <c r="C44" s="425"/>
      <c r="D44" s="426">
        <f>Základy!D222</f>
        <v>0</v>
      </c>
      <c r="E44" s="455"/>
      <c r="F44" s="455"/>
      <c r="G44" s="427">
        <f>Základy!G222</f>
        <v>0</v>
      </c>
    </row>
    <row r="45" spans="1:7" x14ac:dyDescent="0.4">
      <c r="A45" s="226"/>
      <c r="B45" s="246">
        <f>Základy!B223</f>
        <v>2021</v>
      </c>
      <c r="C45" s="246">
        <f>Základy!C223</f>
        <v>2022</v>
      </c>
      <c r="D45" s="246">
        <f>Základy!D223</f>
        <v>2023</v>
      </c>
      <c r="E45" s="246">
        <f>Základy!E223</f>
        <v>2024</v>
      </c>
      <c r="F45" s="246">
        <f>Základy!F223</f>
        <v>2025</v>
      </c>
      <c r="G45" s="247">
        <f>Základy!G223</f>
        <v>2024</v>
      </c>
    </row>
    <row r="46" spans="1:7" ht="21.6" thickBot="1" x14ac:dyDescent="0.45">
      <c r="A46" s="227" t="str">
        <f>Základy!A224</f>
        <v>Celkem</v>
      </c>
      <c r="B46" s="304">
        <f>Základy!B224</f>
        <v>-1546135.8882699488</v>
      </c>
      <c r="C46" s="304">
        <f>Základy!C224</f>
        <v>-1434085.4737390438</v>
      </c>
      <c r="D46" s="304">
        <f>Základy!D224</f>
        <v>-1686271.1874921969</v>
      </c>
      <c r="E46" s="304">
        <f>Základy!E224</f>
        <v>-1864410.4778285827</v>
      </c>
      <c r="F46" s="304">
        <f>Základy!F224</f>
        <v>-1337834.7156805245</v>
      </c>
      <c r="G46" s="305">
        <f>Základy!G224</f>
        <v>-1814870.2404951369</v>
      </c>
    </row>
    <row r="47" spans="1:7" hidden="1" x14ac:dyDescent="0.4">
      <c r="A47" s="232"/>
      <c r="B47" s="232"/>
      <c r="C47" s="232"/>
      <c r="D47" s="320"/>
      <c r="E47" s="320"/>
      <c r="F47" s="320"/>
      <c r="G47" s="320"/>
    </row>
    <row r="48" spans="1:7" ht="21.6" thickBot="1" x14ac:dyDescent="0.45">
      <c r="D48" s="269"/>
      <c r="E48" s="269"/>
      <c r="F48" s="269"/>
      <c r="G48" s="269"/>
    </row>
    <row r="49" spans="1:7" x14ac:dyDescent="0.4">
      <c r="A49" s="424" t="str">
        <f>Základy!A226</f>
        <v>Výpočet rentabily překladiště Humpolec</v>
      </c>
      <c r="B49" s="425"/>
      <c r="C49" s="425"/>
      <c r="D49" s="426"/>
      <c r="E49" s="455"/>
      <c r="F49" s="455"/>
      <c r="G49" s="427"/>
    </row>
    <row r="50" spans="1:7" x14ac:dyDescent="0.4">
      <c r="A50" s="226"/>
      <c r="B50" s="309">
        <f>Základy!B227</f>
        <v>2021</v>
      </c>
      <c r="C50" s="309">
        <f>Základy!C227</f>
        <v>2022</v>
      </c>
      <c r="D50" s="309">
        <f>Základy!D227</f>
        <v>2023</v>
      </c>
      <c r="E50" s="309">
        <f>Základy!E227</f>
        <v>2024</v>
      </c>
      <c r="F50" s="309">
        <f>Základy!F227</f>
        <v>2025</v>
      </c>
      <c r="G50" s="310">
        <f>Základy!G227</f>
        <v>2024</v>
      </c>
    </row>
    <row r="51" spans="1:7" x14ac:dyDescent="0.4">
      <c r="A51" s="226" t="str">
        <f>Základy!A228</f>
        <v>Město Humpolec</v>
      </c>
      <c r="B51" s="267">
        <f>Základy!B228</f>
        <v>-1546135.8882699488</v>
      </c>
      <c r="C51" s="267">
        <f>Základy!C228</f>
        <v>-1434085.4737390438</v>
      </c>
      <c r="D51" s="267">
        <f>Základy!D228</f>
        <v>-1686271.1874921969</v>
      </c>
      <c r="E51" s="267">
        <f>Základy!E228</f>
        <v>-1864410.4778285827</v>
      </c>
      <c r="F51" s="267">
        <f>Základy!F228</f>
        <v>-1337834.7156805245</v>
      </c>
      <c r="G51" s="268">
        <f>Základy!G228</f>
        <v>-1814870.2404951369</v>
      </c>
    </row>
    <row r="52" spans="1:7" hidden="1" x14ac:dyDescent="0.4">
      <c r="A52" s="226">
        <f>Základy!A229</f>
        <v>0</v>
      </c>
      <c r="B52" s="267">
        <f>Základy!B229</f>
        <v>2021</v>
      </c>
      <c r="C52" s="267">
        <f>Základy!C229</f>
        <v>2022</v>
      </c>
      <c r="D52" s="267">
        <f>Základy!D229</f>
        <v>2023</v>
      </c>
      <c r="E52" s="267">
        <f>Základy!E229</f>
        <v>2024</v>
      </c>
      <c r="F52" s="267" t="str">
        <f>Základy!F229</f>
        <v>1.-9.2025</v>
      </c>
      <c r="G52" s="268" t="str">
        <f>Základy!G229</f>
        <v>1.-9.2024</v>
      </c>
    </row>
    <row r="53" spans="1:7" hidden="1" x14ac:dyDescent="0.4">
      <c r="A53" s="226" t="str">
        <f>Základy!A230</f>
        <v>Ostatní obce SKO</v>
      </c>
      <c r="B53" s="267">
        <f>Základy!B230</f>
        <v>634363.27197062329</v>
      </c>
      <c r="C53" s="267">
        <f>Základy!C230</f>
        <v>586479.2369483728</v>
      </c>
      <c r="D53" s="267">
        <f>Základy!D230</f>
        <v>558471.38430592499</v>
      </c>
      <c r="E53" s="267">
        <f>Základy!E230</f>
        <v>547407.92252708622</v>
      </c>
      <c r="F53" s="267">
        <f>Základy!F230</f>
        <v>532658.21013896063</v>
      </c>
      <c r="G53" s="268">
        <f>Základy!G230</f>
        <v>354227.85442117183</v>
      </c>
    </row>
    <row r="54" spans="1:7" hidden="1" x14ac:dyDescent="0.4">
      <c r="A54" s="226" t="str">
        <f>Základy!A231</f>
        <v>Ostatní obce ostatní odpad - provoz překladiště</v>
      </c>
      <c r="B54" s="267">
        <f>Základy!B231</f>
        <v>150363.78858292862</v>
      </c>
      <c r="C54" s="267">
        <f>Základy!C231</f>
        <v>103725.47158845991</v>
      </c>
      <c r="D54" s="267">
        <f>Základy!D231</f>
        <v>171548.14164286549</v>
      </c>
      <c r="E54" s="267">
        <f>Základy!E231</f>
        <v>154932.00138055245</v>
      </c>
      <c r="F54" s="267">
        <f>Základy!F231</f>
        <v>33907.42327549959</v>
      </c>
      <c r="G54" s="268">
        <f>Základy!G231</f>
        <v>138231.53207123547</v>
      </c>
    </row>
    <row r="55" spans="1:7" hidden="1" x14ac:dyDescent="0.4">
      <c r="A55" s="226" t="str">
        <f>Základy!A232</f>
        <v>Ostatní obce ostatní odpad - výnosy z překladišt</v>
      </c>
      <c r="B55" s="267">
        <f>Základy!B232</f>
        <v>95232.622185815475</v>
      </c>
      <c r="C55" s="267">
        <f>Základy!C232</f>
        <v>73371.953480084077</v>
      </c>
      <c r="D55" s="267">
        <f>Základy!D232</f>
        <v>130940.65743557388</v>
      </c>
      <c r="E55" s="267">
        <f>Základy!E232</f>
        <v>94284.217599074022</v>
      </c>
      <c r="F55" s="267">
        <f>Základy!F232</f>
        <v>45870.266897628419</v>
      </c>
      <c r="G55" s="268">
        <f>Základy!G232</f>
        <v>70282.137460316357</v>
      </c>
    </row>
    <row r="56" spans="1:7" hidden="1" x14ac:dyDescent="0.4">
      <c r="A56" s="226" t="str">
        <f>Základy!A233</f>
        <v xml:space="preserve">Ostatní obce ostatní odpad </v>
      </c>
      <c r="B56" s="267">
        <f>Základy!B233</f>
        <v>-55131.166397113149</v>
      </c>
      <c r="C56" s="267">
        <f>Základy!C233</f>
        <v>-30353.518108375836</v>
      </c>
      <c r="D56" s="267">
        <f>Základy!D233</f>
        <v>-40607.484207291607</v>
      </c>
      <c r="E56" s="267">
        <f>Základy!E233</f>
        <v>-60647.783781478429</v>
      </c>
      <c r="F56" s="267">
        <f>Základy!F233</f>
        <v>11962.843622128828</v>
      </c>
      <c r="G56" s="268">
        <f>Základy!G233</f>
        <v>-67949.394610919117</v>
      </c>
    </row>
    <row r="57" spans="1:7" hidden="1" x14ac:dyDescent="0.4">
      <c r="A57" s="226" t="str">
        <f>Základy!A234</f>
        <v>Ostatní obce</v>
      </c>
      <c r="B57" s="267">
        <f>Základy!B234</f>
        <v>-689494.43836773641</v>
      </c>
      <c r="C57" s="267">
        <f>Základy!C234</f>
        <v>-616832.75505674863</v>
      </c>
      <c r="D57" s="267">
        <f>Základy!D234</f>
        <v>-599078.86851321661</v>
      </c>
      <c r="E57" s="267">
        <f>Základy!E234</f>
        <v>-608055.70630856464</v>
      </c>
      <c r="F57" s="267">
        <f>Základy!F234</f>
        <v>-520695.3665168318</v>
      </c>
      <c r="G57" s="268">
        <f>Základy!G234</f>
        <v>-422177.24903209094</v>
      </c>
    </row>
    <row r="58" spans="1:7" x14ac:dyDescent="0.4">
      <c r="A58" s="226" t="str">
        <f>Základy!A235</f>
        <v xml:space="preserve">Ostatní obce přepočet na rok </v>
      </c>
      <c r="B58" s="267">
        <f>Základy!B235</f>
        <v>-689494.43836773641</v>
      </c>
      <c r="C58" s="267">
        <f>Základy!C235</f>
        <v>-616832.75505674863</v>
      </c>
      <c r="D58" s="267">
        <f>Základy!D235</f>
        <v>-599078.86851321661</v>
      </c>
      <c r="E58" s="267">
        <f>Základy!E235</f>
        <v>-608055.70630856464</v>
      </c>
      <c r="F58" s="267">
        <f>Základy!F235</f>
        <v>-520695.3665168318</v>
      </c>
      <c r="G58" s="268">
        <f>Základy!G235</f>
        <v>-562902.99870945455</v>
      </c>
    </row>
    <row r="59" spans="1:7" hidden="1" x14ac:dyDescent="0.4">
      <c r="A59" s="226" t="str">
        <f>Základy!A236</f>
        <v>Podnikatelé SKO</v>
      </c>
      <c r="B59" s="267">
        <f>Základy!B236</f>
        <v>235269.38857101378</v>
      </c>
      <c r="C59" s="267">
        <f>Základy!C236</f>
        <v>172706.52927213791</v>
      </c>
      <c r="D59" s="267">
        <f>Základy!D236</f>
        <v>189966.74001138404</v>
      </c>
      <c r="E59" s="267">
        <f>Základy!E236</f>
        <v>189211.24813847165</v>
      </c>
      <c r="F59" s="267">
        <f>Základy!F236</f>
        <v>178772.65184455557</v>
      </c>
      <c r="G59" s="268">
        <f>Základy!G236</f>
        <v>172854.58385990895</v>
      </c>
    </row>
    <row r="60" spans="1:7" hidden="1" x14ac:dyDescent="0.4">
      <c r="A60" s="226" t="str">
        <f>Základy!A237</f>
        <v>Podnikatelé ostatní odpad - provoz překladiště</v>
      </c>
      <c r="B60" s="267">
        <f>Základy!B237</f>
        <v>480554.54053868406</v>
      </c>
      <c r="C60" s="267">
        <f>Základy!C237</f>
        <v>525949.15593677911</v>
      </c>
      <c r="D60" s="267">
        <f>Základy!D237</f>
        <v>581997.64684936893</v>
      </c>
      <c r="E60" s="267">
        <f>Základy!E237</f>
        <v>655634.35146815225</v>
      </c>
      <c r="F60" s="267">
        <f>Základy!F237</f>
        <v>586257.60810370732</v>
      </c>
      <c r="G60" s="268">
        <f>Základy!G237</f>
        <v>480013.75268469902</v>
      </c>
    </row>
    <row r="61" spans="1:7" hidden="1" x14ac:dyDescent="0.4">
      <c r="A61" s="226" t="str">
        <f>Základy!A238</f>
        <v>Podnikatelé ostatní odpad - výnosy překladiště</v>
      </c>
      <c r="B61" s="267">
        <f>Základy!B238</f>
        <v>304358.31279655889</v>
      </c>
      <c r="C61" s="267">
        <f>Základy!C238</f>
        <v>372038.96411666158</v>
      </c>
      <c r="D61" s="267">
        <f>Základy!D238</f>
        <v>444231.88601520302</v>
      </c>
      <c r="E61" s="267">
        <f>Základy!E238</f>
        <v>398987.75790945394</v>
      </c>
      <c r="F61" s="267">
        <f>Základy!F238</f>
        <v>793094.56032636494</v>
      </c>
      <c r="G61" s="268">
        <f>Základy!G238</f>
        <v>244057.14125806544</v>
      </c>
    </row>
    <row r="62" spans="1:7" hidden="1" x14ac:dyDescent="0.4">
      <c r="A62" s="226" t="str">
        <f>Základy!A239</f>
        <v>Podnikatelé ostatní odpad</v>
      </c>
      <c r="B62" s="267">
        <f>Základy!B239</f>
        <v>-176196.22774212516</v>
      </c>
      <c r="C62" s="267">
        <f>Základy!C239</f>
        <v>-153910.19182011753</v>
      </c>
      <c r="D62" s="267">
        <f>Základy!D239</f>
        <v>-137765.76083416591</v>
      </c>
      <c r="E62" s="267">
        <f>Základy!E239</f>
        <v>-256646.59355869831</v>
      </c>
      <c r="F62" s="267">
        <f>Základy!F239</f>
        <v>206836.95222265762</v>
      </c>
      <c r="G62" s="268">
        <f>Základy!G239</f>
        <v>-235956.61142663358</v>
      </c>
    </row>
    <row r="63" spans="1:7" hidden="1" x14ac:dyDescent="0.4">
      <c r="A63" s="226" t="str">
        <f>Základy!A240</f>
        <v>Podnikatelé</v>
      </c>
      <c r="B63" s="267">
        <f>Základy!B240</f>
        <v>-411465.61631313898</v>
      </c>
      <c r="C63" s="267">
        <f>Základy!C240</f>
        <v>-326616.72109225544</v>
      </c>
      <c r="D63" s="267">
        <f>Základy!D240</f>
        <v>-327732.50084554998</v>
      </c>
      <c r="E63" s="267">
        <f>Základy!E240</f>
        <v>-445857.84169716993</v>
      </c>
      <c r="F63" s="267">
        <f>Základy!F240</f>
        <v>28064.300378102052</v>
      </c>
      <c r="G63" s="268">
        <f>Základy!G240</f>
        <v>-408811.19528654253</v>
      </c>
    </row>
    <row r="64" spans="1:7" x14ac:dyDescent="0.4">
      <c r="A64" s="226" t="str">
        <f>Základy!A241</f>
        <v xml:space="preserve">Podnikatelé přepočet na rok </v>
      </c>
      <c r="B64" s="267">
        <f>Základy!B241</f>
        <v>-411465.61631313898</v>
      </c>
      <c r="C64" s="267">
        <f>Základy!C241</f>
        <v>-326616.72109225544</v>
      </c>
      <c r="D64" s="267">
        <f>Základy!D241</f>
        <v>-327732.50084554998</v>
      </c>
      <c r="E64" s="267">
        <f>Základy!E241</f>
        <v>-445857.84169716993</v>
      </c>
      <c r="F64" s="267">
        <f>Základy!F241</f>
        <v>28064.300378102052</v>
      </c>
      <c r="G64" s="268">
        <f>Základy!G241</f>
        <v>-545081.59371538996</v>
      </c>
    </row>
    <row r="65" spans="1:7" ht="21.6" thickBot="1" x14ac:dyDescent="0.45">
      <c r="A65" s="227" t="str">
        <f>Základy!A242</f>
        <v>Celkem</v>
      </c>
      <c r="B65" s="304">
        <f>Základy!B242</f>
        <v>-2647095.9429508243</v>
      </c>
      <c r="C65" s="304">
        <f>Základy!C242</f>
        <v>-2377534.9498880478</v>
      </c>
      <c r="D65" s="304">
        <f>Základy!D242</f>
        <v>-2613082.5568509637</v>
      </c>
      <c r="E65" s="304">
        <f>Základy!E242</f>
        <v>-2918324.0258343173</v>
      </c>
      <c r="F65" s="304">
        <f>Základy!F242</f>
        <v>-1830465.7818192542</v>
      </c>
      <c r="G65" s="305">
        <f>Základy!G242</f>
        <v>-2922854.8329199813</v>
      </c>
    </row>
    <row r="66" spans="1:7" ht="21.6" thickBot="1" x14ac:dyDescent="0.45"/>
    <row r="67" spans="1:7" x14ac:dyDescent="0.4">
      <c r="A67" s="424" t="str">
        <f>Základy!A244</f>
        <v>Žádost o úhradu nákladů nad rámec solidarity systému</v>
      </c>
      <c r="B67" s="425"/>
      <c r="C67" s="425"/>
      <c r="D67" s="426">
        <f>Základy!D244</f>
        <v>0</v>
      </c>
      <c r="E67" s="455"/>
      <c r="F67" s="455"/>
      <c r="G67" s="427">
        <f>Základy!G244</f>
        <v>0</v>
      </c>
    </row>
    <row r="68" spans="1:7" hidden="1" x14ac:dyDescent="0.4">
      <c r="A68" s="226" t="str">
        <f>Základy!A245</f>
        <v>Obce v rámci překladiště Humpolec</v>
      </c>
      <c r="B68" s="237"/>
      <c r="C68" s="237"/>
      <c r="D68" s="321">
        <f>Základy!D245</f>
        <v>-599078.86851321661</v>
      </c>
      <c r="E68" s="464"/>
      <c r="F68" s="464"/>
      <c r="G68" s="322">
        <f>Základy!G245</f>
        <v>-562902.99870945455</v>
      </c>
    </row>
    <row r="69" spans="1:7" hidden="1" x14ac:dyDescent="0.4">
      <c r="A69" s="231" t="str">
        <f>Základy!A246</f>
        <v>Město Humpolec</v>
      </c>
      <c r="B69" s="294"/>
      <c r="C69" s="294"/>
      <c r="D69" s="323">
        <f>Základy!D246</f>
        <v>-1686271.1874921969</v>
      </c>
      <c r="E69" s="465"/>
      <c r="F69" s="465"/>
      <c r="G69" s="324">
        <f>Základy!G246</f>
        <v>-1814870.2404951369</v>
      </c>
    </row>
    <row r="70" spans="1:7" hidden="1" x14ac:dyDescent="0.4">
      <c r="A70" s="231" t="str">
        <f>Základy!A247</f>
        <v>Obce v rámci překladiště Humpolec</v>
      </c>
      <c r="B70" s="294"/>
      <c r="C70" s="294"/>
      <c r="D70" s="325">
        <f>Základy!D247</f>
        <v>20415</v>
      </c>
      <c r="E70" s="466"/>
      <c r="F70" s="466"/>
      <c r="G70" s="326">
        <f>Základy!G247</f>
        <v>21212</v>
      </c>
    </row>
    <row r="71" spans="1:7" hidden="1" x14ac:dyDescent="0.4">
      <c r="A71" s="231" t="str">
        <f>Základy!A248</f>
        <v>Město Humpolec</v>
      </c>
      <c r="B71" s="294"/>
      <c r="C71" s="294"/>
      <c r="D71" s="325">
        <f>Základy!D248</f>
        <v>11296</v>
      </c>
      <c r="E71" s="466"/>
      <c r="F71" s="466"/>
      <c r="G71" s="326">
        <f>Základy!G248</f>
        <v>11888</v>
      </c>
    </row>
    <row r="72" spans="1:7" hidden="1" x14ac:dyDescent="0.4">
      <c r="A72" s="231" t="str">
        <f>Základy!A249</f>
        <v>Obce v rámci překladiště Humpolec - bez Humpolce</v>
      </c>
      <c r="B72" s="294"/>
      <c r="C72" s="294"/>
      <c r="D72" s="325">
        <f>Základy!D249</f>
        <v>9119</v>
      </c>
      <c r="E72" s="466"/>
      <c r="F72" s="466"/>
      <c r="G72" s="326">
        <f>Základy!G249</f>
        <v>9324</v>
      </c>
    </row>
    <row r="73" spans="1:7" hidden="1" x14ac:dyDescent="0.4">
      <c r="A73" s="231" t="str">
        <f>Základy!A250</f>
        <v>Obce v rámci překladiště Humpolec</v>
      </c>
      <c r="B73" s="294"/>
      <c r="C73" s="294"/>
      <c r="D73" s="327">
        <f>Základy!D250</f>
        <v>0.44668136174381584</v>
      </c>
      <c r="E73" s="467"/>
      <c r="F73" s="467"/>
      <c r="G73" s="328">
        <f>Základy!G250</f>
        <v>0.43956251178578165</v>
      </c>
    </row>
    <row r="74" spans="1:7" hidden="1" x14ac:dyDescent="0.4">
      <c r="A74" s="231" t="str">
        <f>Základy!A251</f>
        <v>Město Humpolec</v>
      </c>
      <c r="B74" s="294"/>
      <c r="C74" s="294"/>
      <c r="D74" s="327">
        <f>Základy!D251</f>
        <v>0.55331863825618421</v>
      </c>
      <c r="E74" s="467"/>
      <c r="F74" s="467"/>
      <c r="G74" s="328">
        <f>Základy!G251</f>
        <v>0.56043748821421835</v>
      </c>
    </row>
    <row r="75" spans="1:7" x14ac:dyDescent="0.4">
      <c r="A75" s="231"/>
      <c r="B75" s="340">
        <f>Základy!B252</f>
        <v>2021</v>
      </c>
      <c r="C75" s="340">
        <f>Základy!C252</f>
        <v>2022</v>
      </c>
      <c r="D75" s="340">
        <f>Základy!D252</f>
        <v>2023</v>
      </c>
      <c r="E75" s="340">
        <f>Základy!E252</f>
        <v>2024</v>
      </c>
      <c r="F75" s="340">
        <f>Základy!F252</f>
        <v>2025</v>
      </c>
      <c r="G75" s="341">
        <f>Základy!G252</f>
        <v>2024</v>
      </c>
    </row>
    <row r="76" spans="1:7" x14ac:dyDescent="0.4">
      <c r="A76" s="231" t="str">
        <f>Základy!A253</f>
        <v>Poměr solidarity pro město Humpolec</v>
      </c>
      <c r="B76" s="329">
        <f>Základy!B253</f>
        <v>-881662.42119029863</v>
      </c>
      <c r="C76" s="329">
        <f>Základy!C253</f>
        <v>-783010.20211431372</v>
      </c>
      <c r="D76" s="329">
        <f>Základy!D253</f>
        <v>-742098.35494300851</v>
      </c>
      <c r="E76" s="329">
        <f>Základy!E253</f>
        <v>-775264.50413944828</v>
      </c>
      <c r="F76" s="329">
        <f>Základy!F253</f>
        <v>-666885.68871358619</v>
      </c>
      <c r="G76" s="330">
        <f>Základy!G253</f>
        <v>-717695.28621385619</v>
      </c>
    </row>
    <row r="77" spans="1:7" ht="28.8" thickBot="1" x14ac:dyDescent="0.55000000000000004">
      <c r="A77" s="229" t="str">
        <f>Základy!A255</f>
        <v>Náklady nad rámec solidarity systému</v>
      </c>
      <c r="B77" s="331">
        <f>Základy!B255</f>
        <v>-664473.46707965015</v>
      </c>
      <c r="C77" s="331">
        <f>Základy!C255</f>
        <v>-651075.27162473009</v>
      </c>
      <c r="D77" s="331">
        <f>Základy!D255</f>
        <v>-944172.8325491884</v>
      </c>
      <c r="E77" s="331">
        <f>Základy!E255</f>
        <v>-1089145.9736891345</v>
      </c>
      <c r="F77" s="331">
        <f>Základy!F255</f>
        <v>-670949.02696693828</v>
      </c>
      <c r="G77" s="332">
        <f>Základy!G255</f>
        <v>-1097174.9542812807</v>
      </c>
    </row>
    <row r="78" spans="1:7" ht="28.8" thickBot="1" x14ac:dyDescent="0.55000000000000004">
      <c r="A78" s="229" t="str">
        <f>Základy!A256</f>
        <v>Zaplaceno</v>
      </c>
      <c r="B78" s="331"/>
      <c r="C78" s="331"/>
      <c r="D78" s="331"/>
      <c r="E78" s="331"/>
      <c r="F78" s="331"/>
      <c r="G78" s="332">
        <f>Základy!G256</f>
        <v>906756.2</v>
      </c>
    </row>
    <row r="79" spans="1:7" ht="28.8" thickBot="1" x14ac:dyDescent="0.55000000000000004">
      <c r="A79" s="229" t="str">
        <f>Základy!A257</f>
        <v>Požadavek</v>
      </c>
      <c r="B79" s="472"/>
      <c r="C79" s="473"/>
      <c r="D79" s="473"/>
      <c r="E79" s="474"/>
      <c r="F79" s="471">
        <f>Základy!F257</f>
        <v>-853338.8006560728</v>
      </c>
      <c r="G79" s="469"/>
    </row>
    <row r="80" spans="1:7" ht="28.8" thickBot="1" x14ac:dyDescent="0.55000000000000004">
      <c r="A80" s="229" t="str">
        <f>Základy!A258</f>
        <v>včetně DPH</v>
      </c>
      <c r="B80" s="475"/>
      <c r="C80" s="476"/>
      <c r="D80" s="476"/>
      <c r="E80" s="477"/>
      <c r="F80" s="478">
        <f>Základy!F258</f>
        <v>-1032539.948793848</v>
      </c>
      <c r="G80" s="469"/>
    </row>
    <row r="81" spans="1:7" x14ac:dyDescent="0.4">
      <c r="A81" s="479" t="str">
        <f>Základy!A259</f>
        <v>Solidarita systému</v>
      </c>
      <c r="B81" s="480"/>
      <c r="C81" s="480"/>
      <c r="D81" s="480"/>
      <c r="E81" s="480"/>
      <c r="F81" s="480"/>
      <c r="G81" s="481"/>
    </row>
    <row r="82" spans="1:7" x14ac:dyDescent="0.4">
      <c r="A82" s="226"/>
      <c r="B82" s="246">
        <f>Základy!B260</f>
        <v>2021</v>
      </c>
      <c r="C82" s="246">
        <f>Základy!C260</f>
        <v>2022</v>
      </c>
      <c r="D82" s="246">
        <f>Základy!D260</f>
        <v>2023</v>
      </c>
      <c r="E82" s="246">
        <f>Základy!E260</f>
        <v>2024</v>
      </c>
      <c r="F82" s="246">
        <f>Základy!F260</f>
        <v>2025</v>
      </c>
      <c r="G82" s="247">
        <f>Základy!G260</f>
        <v>2024</v>
      </c>
    </row>
    <row r="83" spans="1:7" x14ac:dyDescent="0.4">
      <c r="A83" s="333" t="str">
        <f>Základy!A261</f>
        <v>Výše poplatku</v>
      </c>
      <c r="B83" s="335">
        <f>Základy!B261</f>
        <v>530</v>
      </c>
      <c r="C83" s="335">
        <f>Základy!C261</f>
        <v>548</v>
      </c>
      <c r="D83" s="335">
        <f>Základy!D261</f>
        <v>641</v>
      </c>
      <c r="E83" s="335">
        <f>Základy!E261</f>
        <v>681</v>
      </c>
      <c r="F83" s="335">
        <f>Základy!F261</f>
        <v>723</v>
      </c>
      <c r="G83" s="336">
        <f>Základy!G261</f>
        <v>681</v>
      </c>
    </row>
    <row r="84" spans="1:7" x14ac:dyDescent="0.4">
      <c r="A84" s="226" t="str">
        <f>Základy!A262</f>
        <v>PROVOZ PŘEKLADIŠTĚ - současný stav</v>
      </c>
      <c r="B84" s="337">
        <f>Základy!B262</f>
        <v>38.120764018648934</v>
      </c>
      <c r="C84" s="337">
        <f>Základy!C262</f>
        <v>34.929460944134348</v>
      </c>
      <c r="D84" s="337">
        <f>Základy!D262</f>
        <v>38.991163174868859</v>
      </c>
      <c r="E84" s="337">
        <f>Základy!E262</f>
        <v>25.951137588668679</v>
      </c>
      <c r="F84" s="337">
        <f>Základy!F262</f>
        <v>16.588957347943417</v>
      </c>
      <c r="G84" s="338">
        <f>Základy!G262</f>
        <v>24.381632592521367</v>
      </c>
    </row>
    <row r="85" spans="1:7" ht="21.6" thickBot="1" x14ac:dyDescent="0.45">
      <c r="A85" s="229" t="e">
        <f>Základy!#REF!</f>
        <v>#REF!</v>
      </c>
      <c r="B85" s="264"/>
      <c r="C85" s="264"/>
      <c r="D85" s="265"/>
      <c r="E85" s="337" t="e">
        <f>Základy!#REF!</f>
        <v>#REF!</v>
      </c>
      <c r="F85" s="337" t="e">
        <f>Základy!#REF!</f>
        <v>#REF!</v>
      </c>
      <c r="G85" s="339" t="e">
        <f>Základy!#REF!</f>
        <v>#REF!</v>
      </c>
    </row>
  </sheetData>
  <mergeCells count="9">
    <mergeCell ref="A1:G1"/>
    <mergeCell ref="A9:G9"/>
    <mergeCell ref="A26:G26"/>
    <mergeCell ref="A38:G38"/>
    <mergeCell ref="A81:G81"/>
    <mergeCell ref="A67:G67"/>
    <mergeCell ref="A49:G49"/>
    <mergeCell ref="A44:G44"/>
    <mergeCell ref="A25:G25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FEF6-6B3C-494A-82CE-CB7FE068C2C6}">
  <dimension ref="A1:E31"/>
  <sheetViews>
    <sheetView topLeftCell="A25" zoomScale="98" workbookViewId="0">
      <selection activeCell="A26" sqref="A26"/>
    </sheetView>
  </sheetViews>
  <sheetFormatPr defaultColWidth="9.109375" defaultRowHeight="21" x14ac:dyDescent="0.4"/>
  <cols>
    <col min="1" max="1" width="59.44140625" style="230" customWidth="1"/>
    <col min="2" max="5" width="16.88671875" style="230" customWidth="1"/>
    <col min="6" max="16384" width="9.109375" style="62"/>
  </cols>
  <sheetData>
    <row r="1" spans="1:5" hidden="1" x14ac:dyDescent="0.4">
      <c r="A1" s="424" t="str">
        <f>Základy!A188</f>
        <v>Výpočet nákladů na provoz překladiště pro ostatní odpad</v>
      </c>
      <c r="B1" s="425"/>
      <c r="C1" s="425"/>
      <c r="D1" s="426">
        <f>Základy!D188</f>
        <v>0</v>
      </c>
      <c r="E1" s="427">
        <f>Základy!G188</f>
        <v>0</v>
      </c>
    </row>
    <row r="2" spans="1:5" hidden="1" x14ac:dyDescent="0.4">
      <c r="A2" s="226"/>
      <c r="B2" s="237"/>
      <c r="C2" s="237"/>
      <c r="D2" s="246">
        <f>Základy!D189</f>
        <v>2023</v>
      </c>
      <c r="E2" s="247" t="str">
        <f>Základy!G189</f>
        <v>1.-9.2024</v>
      </c>
    </row>
    <row r="3" spans="1:5" hidden="1" x14ac:dyDescent="0.4">
      <c r="A3" s="226" t="str">
        <f>Základy!A190</f>
        <v>Obsluha překladiště</v>
      </c>
      <c r="B3" s="237"/>
      <c r="C3" s="237"/>
      <c r="D3" s="267">
        <f>Základy!D190</f>
        <v>897000</v>
      </c>
      <c r="E3" s="268">
        <f>Základy!G190</f>
        <v>720000</v>
      </c>
    </row>
    <row r="4" spans="1:5" hidden="1" x14ac:dyDescent="0.4">
      <c r="A4" s="226" t="str">
        <f>Základy!A191</f>
        <v>Kontejnery bez pronájmu</v>
      </c>
      <c r="B4" s="237"/>
      <c r="C4" s="237"/>
      <c r="D4" s="267">
        <f>Základy!D191</f>
        <v>83000</v>
      </c>
      <c r="E4" s="268">
        <f>Základy!G191</f>
        <v>62250</v>
      </c>
    </row>
    <row r="5" spans="1:5" hidden="1" x14ac:dyDescent="0.4">
      <c r="A5" s="226" t="str">
        <f>Základy!A192</f>
        <v xml:space="preserve">Lisovací kontejner včetně hlavice </v>
      </c>
      <c r="B5" s="237"/>
      <c r="C5" s="237"/>
      <c r="D5" s="267">
        <f>Základy!D192</f>
        <v>112560</v>
      </c>
      <c r="E5" s="268">
        <f>Základy!G192</f>
        <v>84420</v>
      </c>
    </row>
    <row r="6" spans="1:5" hidden="1" x14ac:dyDescent="0.4">
      <c r="A6" s="226" t="str">
        <f>Základy!A193</f>
        <v>Náklady na dopravu ostatního odpadu</v>
      </c>
      <c r="B6" s="237"/>
      <c r="C6" s="237"/>
      <c r="D6" s="267">
        <f>Základy!D193</f>
        <v>306768.56094398949</v>
      </c>
      <c r="E6" s="268">
        <f>Základy!G193</f>
        <v>291623.88993434294</v>
      </c>
    </row>
    <row r="7" spans="1:5" hidden="1" x14ac:dyDescent="0.4">
      <c r="A7" s="226" t="str">
        <f>Základy!A194</f>
        <v>Opravy kontejnerů -odhad</v>
      </c>
      <c r="B7" s="237"/>
      <c r="C7" s="237"/>
      <c r="D7" s="267">
        <f>Základy!D194</f>
        <v>50000</v>
      </c>
      <c r="E7" s="268">
        <f>Základy!G194</f>
        <v>37500</v>
      </c>
    </row>
    <row r="8" spans="1:5" ht="21.6" hidden="1" thickBot="1" x14ac:dyDescent="0.45">
      <c r="A8" s="227" t="str">
        <f>Základy!A195</f>
        <v>Náklady na provoz překladiště</v>
      </c>
      <c r="B8" s="240"/>
      <c r="C8" s="240"/>
      <c r="D8" s="304">
        <f>Základy!D195</f>
        <v>1449328.5609439895</v>
      </c>
      <c r="E8" s="305">
        <f>Základy!G195</f>
        <v>1195793.8899343428</v>
      </c>
    </row>
    <row r="9" spans="1:5" hidden="1" x14ac:dyDescent="0.4">
      <c r="A9" s="424" t="str">
        <f>Základy!A196</f>
        <v>Výpočet nákladů na provoz překladiště Humpolec pro svážené SKO</v>
      </c>
      <c r="B9" s="425"/>
      <c r="C9" s="425"/>
      <c r="D9" s="426">
        <f>Základy!D196</f>
        <v>0</v>
      </c>
      <c r="E9" s="427">
        <f>Základy!G196</f>
        <v>0</v>
      </c>
    </row>
    <row r="10" spans="1:5" hidden="1" x14ac:dyDescent="0.4">
      <c r="A10" s="226"/>
      <c r="B10" s="237"/>
      <c r="C10" s="237"/>
      <c r="D10" s="246">
        <f>Základy!D197</f>
        <v>2023</v>
      </c>
      <c r="E10" s="247" t="str">
        <f>Základy!G197</f>
        <v>1.-9.2024</v>
      </c>
    </row>
    <row r="11" spans="1:5" hidden="1" x14ac:dyDescent="0.4">
      <c r="A11" s="226" t="str">
        <f>Základy!A198</f>
        <v>Kontejnery pro svoz 6 M + 2 V</v>
      </c>
      <c r="B11" s="237"/>
      <c r="C11" s="237"/>
      <c r="D11" s="238">
        <f>Základy!D198</f>
        <v>132800</v>
      </c>
      <c r="E11" s="239">
        <f>Základy!G198</f>
        <v>99600</v>
      </c>
    </row>
    <row r="12" spans="1:5" hidden="1" x14ac:dyDescent="0.4">
      <c r="A12" s="226" t="str">
        <f>Základy!A199</f>
        <v>Opravy kontejnerů -odhad</v>
      </c>
      <c r="B12" s="237"/>
      <c r="C12" s="237"/>
      <c r="D12" s="238">
        <f>Základy!D199</f>
        <v>50000</v>
      </c>
      <c r="E12" s="239">
        <f>Základy!G199</f>
        <v>37500</v>
      </c>
    </row>
    <row r="13" spans="1:5" hidden="1" x14ac:dyDescent="0.4">
      <c r="A13" s="226" t="str">
        <f>Základy!A200</f>
        <v>Provoz překladiště (traktorbagr, poplatky, odpisy,..)</v>
      </c>
      <c r="B13" s="237"/>
      <c r="C13" s="237"/>
      <c r="D13" s="238">
        <f>Základy!D200</f>
        <v>129982</v>
      </c>
      <c r="E13" s="239">
        <f>Základy!G200</f>
        <v>62976</v>
      </c>
    </row>
    <row r="14" spans="1:5" hidden="1" x14ac:dyDescent="0.4">
      <c r="A14" s="226" t="str">
        <f>Základy!A201</f>
        <v>Náklad na odvoz SKO</v>
      </c>
      <c r="B14" s="237"/>
      <c r="C14" s="237"/>
      <c r="D14" s="238">
        <f>Základy!D201</f>
        <v>1127452.6762549919</v>
      </c>
      <c r="E14" s="239">
        <f>Základy!G201</f>
        <v>778643.15357053676</v>
      </c>
    </row>
    <row r="15" spans="1:5" ht="21.6" hidden="1" thickBot="1" x14ac:dyDescent="0.45">
      <c r="A15" s="227" t="str">
        <f>Základy!A202</f>
        <v>Náklady na překladiště</v>
      </c>
      <c r="B15" s="240"/>
      <c r="C15" s="240"/>
      <c r="D15" s="306">
        <f>Základy!D202</f>
        <v>1440234.6762549919</v>
      </c>
      <c r="E15" s="307">
        <f>Základy!G202</f>
        <v>978719.15357053676</v>
      </c>
    </row>
    <row r="16" spans="1:5" hidden="1" x14ac:dyDescent="0.4"/>
    <row r="17" spans="1:5" hidden="1" x14ac:dyDescent="0.4"/>
    <row r="18" spans="1:5" hidden="1" x14ac:dyDescent="0.4"/>
    <row r="19" spans="1:5" hidden="1" x14ac:dyDescent="0.4"/>
    <row r="20" spans="1:5" hidden="1" x14ac:dyDescent="0.4"/>
    <row r="21" spans="1:5" hidden="1" x14ac:dyDescent="0.4"/>
    <row r="22" spans="1:5" hidden="1" x14ac:dyDescent="0.4"/>
    <row r="23" spans="1:5" hidden="1" x14ac:dyDescent="0.4"/>
    <row r="24" spans="1:5" hidden="1" x14ac:dyDescent="0.4"/>
    <row r="25" spans="1:5" ht="21.75" customHeight="1" thickBot="1" x14ac:dyDescent="0.45">
      <c r="A25" s="428" t="s">
        <v>452</v>
      </c>
      <c r="B25" s="428"/>
      <c r="C25" s="428"/>
      <c r="D25" s="428"/>
      <c r="E25" s="428"/>
    </row>
    <row r="26" spans="1:5" x14ac:dyDescent="0.4">
      <c r="A26" s="348"/>
      <c r="B26" s="301">
        <f>Základy!B154</f>
        <v>2021</v>
      </c>
      <c r="C26" s="301">
        <f>Základy!C154</f>
        <v>2022</v>
      </c>
      <c r="D26" s="302">
        <f>Základy!D154</f>
        <v>2023</v>
      </c>
      <c r="E26" s="303" t="str">
        <f>Základy!G154</f>
        <v>1.-9.2024</v>
      </c>
    </row>
    <row r="27" spans="1:5" x14ac:dyDescent="0.4">
      <c r="A27" s="342" t="str">
        <f>Základy!A155</f>
        <v>Náklady</v>
      </c>
      <c r="B27" s="343">
        <f>Základy!B155</f>
        <v>14952592.460000001</v>
      </c>
      <c r="C27" s="343">
        <f>Základy!C155</f>
        <v>20450565.359999999</v>
      </c>
      <c r="D27" s="267">
        <f>Základy!D155</f>
        <v>24056926.280000001</v>
      </c>
      <c r="E27" s="268">
        <f>Základy!G155</f>
        <v>18807802</v>
      </c>
    </row>
    <row r="28" spans="1:5" x14ac:dyDescent="0.4">
      <c r="A28" s="342" t="str">
        <f>Základy!A156</f>
        <v>Výnosy celkem</v>
      </c>
      <c r="B28" s="343">
        <f>Základy!B156</f>
        <v>13601352.199999999</v>
      </c>
      <c r="C28" s="343">
        <f>Základy!C156</f>
        <v>14159419.300000001</v>
      </c>
      <c r="D28" s="267">
        <f>Základy!D156</f>
        <v>13597887.9</v>
      </c>
      <c r="E28" s="268">
        <f>Základy!G156</f>
        <v>14824885</v>
      </c>
    </row>
    <row r="29" spans="1:5" x14ac:dyDescent="0.4">
      <c r="A29" s="344" t="str">
        <f>Základy!A157</f>
        <v>Výnosy prodeje druhotných surovin</v>
      </c>
      <c r="B29" s="345">
        <f>Základy!B157</f>
        <v>9745127.1500000004</v>
      </c>
      <c r="C29" s="345">
        <f>Základy!C157</f>
        <v>9255131.3800000008</v>
      </c>
      <c r="D29" s="346">
        <f>Základy!D157</f>
        <v>5241711.1500000004</v>
      </c>
      <c r="E29" s="347">
        <f>Základy!G157</f>
        <v>8724871.0999999996</v>
      </c>
    </row>
    <row r="30" spans="1:5" x14ac:dyDescent="0.4">
      <c r="A30" s="342" t="str">
        <f>Základy!A158</f>
        <v>Rozdíl</v>
      </c>
      <c r="B30" s="267">
        <f>Základy!B158</f>
        <v>1351240.2600000016</v>
      </c>
      <c r="C30" s="267">
        <f>Základy!C158</f>
        <v>6291146.0599999987</v>
      </c>
      <c r="D30" s="267">
        <f>Základy!D158</f>
        <v>10459038.380000001</v>
      </c>
      <c r="E30" s="268">
        <f>Základy!G158</f>
        <v>3982917</v>
      </c>
    </row>
    <row r="31" spans="1:5" ht="21.6" thickBot="1" x14ac:dyDescent="0.45">
      <c r="A31" s="229" t="str">
        <f>Základy!A159</f>
        <v>Celkový objem separovaných odpadů</v>
      </c>
      <c r="B31" s="299">
        <f>Základy!B159</f>
        <v>4145</v>
      </c>
      <c r="C31" s="299">
        <f>Základy!C159</f>
        <v>4382</v>
      </c>
      <c r="D31" s="299">
        <f>Základy!D159</f>
        <v>4456</v>
      </c>
      <c r="E31" s="300">
        <f>Základy!G159</f>
        <v>3458</v>
      </c>
    </row>
  </sheetData>
  <mergeCells count="3">
    <mergeCell ref="A1:E1"/>
    <mergeCell ref="A9:E9"/>
    <mergeCell ref="A25:E2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1803-6512-4930-AB8D-114CA84FAB2D}">
  <dimension ref="A1:T252"/>
  <sheetViews>
    <sheetView workbookViewId="0">
      <selection activeCell="L19" sqref="L19"/>
    </sheetView>
  </sheetViews>
  <sheetFormatPr defaultRowHeight="14.4" x14ac:dyDescent="0.3"/>
  <cols>
    <col min="4" max="4" width="22" customWidth="1"/>
    <col min="6" max="6" width="13.109375" customWidth="1"/>
    <col min="16" max="18" width="12.33203125" bestFit="1" customWidth="1"/>
  </cols>
  <sheetData>
    <row r="1" spans="1:13" x14ac:dyDescent="0.3">
      <c r="A1" s="43" t="s">
        <v>118</v>
      </c>
      <c r="B1" s="43" t="s">
        <v>119</v>
      </c>
      <c r="C1" s="43" t="s">
        <v>120</v>
      </c>
      <c r="D1" s="43" t="s">
        <v>121</v>
      </c>
      <c r="E1" s="43" t="s">
        <v>122</v>
      </c>
      <c r="F1" s="43" t="s">
        <v>123</v>
      </c>
      <c r="G1" s="43" t="s">
        <v>124</v>
      </c>
      <c r="H1" s="43" t="s">
        <v>125</v>
      </c>
      <c r="I1" s="43" t="s">
        <v>126</v>
      </c>
      <c r="J1" s="43" t="s">
        <v>127</v>
      </c>
      <c r="K1" s="43" t="s">
        <v>128</v>
      </c>
    </row>
    <row r="2" spans="1:13" x14ac:dyDescent="0.3">
      <c r="A2">
        <v>248266</v>
      </c>
      <c r="B2" s="44" t="s">
        <v>129</v>
      </c>
      <c r="C2" s="44" t="s">
        <v>130</v>
      </c>
      <c r="D2" s="44" t="s">
        <v>131</v>
      </c>
      <c r="E2" s="44" t="s">
        <v>132</v>
      </c>
      <c r="F2" s="44" t="s">
        <v>133</v>
      </c>
      <c r="G2" s="44" t="s">
        <v>134</v>
      </c>
      <c r="H2">
        <v>0.33800000000000002</v>
      </c>
      <c r="I2">
        <v>0</v>
      </c>
      <c r="J2" s="44" t="s">
        <v>98</v>
      </c>
      <c r="K2">
        <v>2772</v>
      </c>
      <c r="L2" t="s">
        <v>321</v>
      </c>
    </row>
    <row r="3" spans="1:13" x14ac:dyDescent="0.3">
      <c r="A3">
        <v>248266</v>
      </c>
      <c r="B3" s="44" t="s">
        <v>129</v>
      </c>
      <c r="C3" s="44" t="s">
        <v>130</v>
      </c>
      <c r="D3" s="44" t="s">
        <v>131</v>
      </c>
      <c r="E3" s="44" t="s">
        <v>132</v>
      </c>
      <c r="F3" s="44" t="s">
        <v>135</v>
      </c>
      <c r="G3" s="44" t="s">
        <v>136</v>
      </c>
      <c r="H3">
        <v>0.02</v>
      </c>
      <c r="I3">
        <v>0</v>
      </c>
      <c r="J3" s="44" t="s">
        <v>98</v>
      </c>
      <c r="K3">
        <v>18.2</v>
      </c>
      <c r="L3" t="s">
        <v>322</v>
      </c>
    </row>
    <row r="4" spans="1:13" x14ac:dyDescent="0.3">
      <c r="A4">
        <v>248266</v>
      </c>
      <c r="B4" s="44" t="s">
        <v>129</v>
      </c>
      <c r="C4" s="44" t="s">
        <v>130</v>
      </c>
      <c r="D4" s="44" t="s">
        <v>131</v>
      </c>
      <c r="E4" s="44" t="s">
        <v>132</v>
      </c>
      <c r="F4" s="44" t="s">
        <v>137</v>
      </c>
      <c r="G4" s="44" t="s">
        <v>138</v>
      </c>
      <c r="H4">
        <v>0.35</v>
      </c>
      <c r="I4">
        <v>0</v>
      </c>
      <c r="J4" s="44" t="s">
        <v>98</v>
      </c>
      <c r="K4">
        <v>1190</v>
      </c>
      <c r="L4" t="s">
        <v>322</v>
      </c>
    </row>
    <row r="5" spans="1:13" x14ac:dyDescent="0.3">
      <c r="A5">
        <v>248266</v>
      </c>
      <c r="B5" s="44" t="s">
        <v>129</v>
      </c>
      <c r="C5" s="44" t="s">
        <v>130</v>
      </c>
      <c r="D5" s="44" t="s">
        <v>131</v>
      </c>
      <c r="E5" s="44" t="s">
        <v>132</v>
      </c>
      <c r="F5" s="44" t="s">
        <v>139</v>
      </c>
      <c r="G5" s="44" t="s">
        <v>140</v>
      </c>
      <c r="H5">
        <v>3.17</v>
      </c>
      <c r="I5">
        <v>0</v>
      </c>
      <c r="J5" s="44" t="s">
        <v>98</v>
      </c>
      <c r="K5">
        <v>3409.25</v>
      </c>
      <c r="L5" t="s">
        <v>322</v>
      </c>
    </row>
    <row r="6" spans="1:13" x14ac:dyDescent="0.3">
      <c r="A6">
        <v>248266</v>
      </c>
      <c r="B6" s="44" t="s">
        <v>129</v>
      </c>
      <c r="C6" s="44" t="s">
        <v>130</v>
      </c>
      <c r="D6" s="44" t="s">
        <v>131</v>
      </c>
      <c r="E6" s="44" t="s">
        <v>132</v>
      </c>
      <c r="F6" s="44" t="s">
        <v>141</v>
      </c>
      <c r="G6" s="44" t="s">
        <v>142</v>
      </c>
      <c r="H6">
        <v>28.164999999999999</v>
      </c>
      <c r="I6">
        <v>0</v>
      </c>
      <c r="J6" s="44" t="s">
        <v>98</v>
      </c>
      <c r="K6">
        <v>14082.5</v>
      </c>
      <c r="L6" t="s">
        <v>321</v>
      </c>
    </row>
    <row r="7" spans="1:13" x14ac:dyDescent="0.3">
      <c r="A7">
        <v>248266</v>
      </c>
      <c r="B7" s="44" t="s">
        <v>129</v>
      </c>
      <c r="C7" s="44" t="s">
        <v>130</v>
      </c>
      <c r="D7" s="44" t="s">
        <v>131</v>
      </c>
      <c r="E7" s="44" t="s">
        <v>132</v>
      </c>
      <c r="F7" s="44" t="s">
        <v>143</v>
      </c>
      <c r="G7" s="44" t="s">
        <v>144</v>
      </c>
      <c r="H7">
        <v>13.34</v>
      </c>
      <c r="I7">
        <v>0</v>
      </c>
      <c r="J7" s="44" t="s">
        <v>98</v>
      </c>
      <c r="K7">
        <v>5336</v>
      </c>
      <c r="L7" t="s">
        <v>322</v>
      </c>
    </row>
    <row r="8" spans="1:13" x14ac:dyDescent="0.3">
      <c r="A8">
        <v>248266</v>
      </c>
      <c r="B8" s="44" t="s">
        <v>129</v>
      </c>
      <c r="C8" s="44" t="s">
        <v>130</v>
      </c>
      <c r="D8" s="44" t="s">
        <v>131</v>
      </c>
      <c r="E8" s="44" t="s">
        <v>132</v>
      </c>
      <c r="F8" s="44" t="s">
        <v>145</v>
      </c>
      <c r="G8" s="44" t="s">
        <v>146</v>
      </c>
      <c r="H8">
        <v>4.42</v>
      </c>
      <c r="I8">
        <v>0</v>
      </c>
      <c r="J8" s="44" t="s">
        <v>98</v>
      </c>
      <c r="K8">
        <v>1768</v>
      </c>
      <c r="L8" t="s">
        <v>322</v>
      </c>
    </row>
    <row r="9" spans="1:13" x14ac:dyDescent="0.3">
      <c r="A9">
        <v>248266</v>
      </c>
      <c r="B9" s="44" t="s">
        <v>129</v>
      </c>
      <c r="C9" s="44" t="s">
        <v>130</v>
      </c>
      <c r="D9" s="44" t="s">
        <v>131</v>
      </c>
      <c r="E9" s="44" t="s">
        <v>132</v>
      </c>
      <c r="F9" s="44" t="s">
        <v>145</v>
      </c>
      <c r="G9" s="44" t="s">
        <v>146</v>
      </c>
      <c r="H9">
        <v>140.26</v>
      </c>
      <c r="I9">
        <v>0</v>
      </c>
      <c r="J9" s="44" t="s">
        <v>98</v>
      </c>
      <c r="K9">
        <v>56104</v>
      </c>
      <c r="L9" t="s">
        <v>322</v>
      </c>
    </row>
    <row r="10" spans="1:13" ht="15" thickBot="1" x14ac:dyDescent="0.35">
      <c r="A10">
        <v>248266</v>
      </c>
      <c r="B10" s="44" t="s">
        <v>129</v>
      </c>
      <c r="C10" s="44" t="s">
        <v>130</v>
      </c>
      <c r="D10" s="44" t="s">
        <v>131</v>
      </c>
      <c r="E10" s="44" t="s">
        <v>132</v>
      </c>
      <c r="F10" s="44" t="s">
        <v>147</v>
      </c>
      <c r="G10" s="44" t="s">
        <v>148</v>
      </c>
      <c r="H10">
        <v>164.40299999999999</v>
      </c>
      <c r="I10">
        <v>0</v>
      </c>
      <c r="J10" s="44" t="s">
        <v>98</v>
      </c>
      <c r="K10">
        <v>185787.9</v>
      </c>
      <c r="L10" t="s">
        <v>323</v>
      </c>
    </row>
    <row r="11" spans="1:13" s="43" customFormat="1" ht="15" thickBot="1" x14ac:dyDescent="0.35">
      <c r="A11" s="45"/>
      <c r="B11" s="46"/>
      <c r="C11" s="46"/>
      <c r="D11" s="47" t="s">
        <v>131</v>
      </c>
      <c r="E11" s="46"/>
      <c r="F11" s="46"/>
      <c r="G11" s="46"/>
      <c r="H11" s="46">
        <f>SUM(H2:H10)</f>
        <v>354.46600000000001</v>
      </c>
      <c r="I11" s="46"/>
      <c r="J11" s="46"/>
      <c r="K11" s="48">
        <f>SUM(K2:K10)</f>
        <v>270467.84999999998</v>
      </c>
      <c r="M11" s="43" t="s">
        <v>149</v>
      </c>
    </row>
    <row r="12" spans="1:13" s="43" customFormat="1" x14ac:dyDescent="0.3">
      <c r="D12" s="49"/>
    </row>
    <row r="13" spans="1:13" x14ac:dyDescent="0.3">
      <c r="A13" s="43" t="s">
        <v>150</v>
      </c>
      <c r="B13" s="43"/>
      <c r="C13" s="43"/>
      <c r="D13" s="43"/>
    </row>
    <row r="14" spans="1:13" x14ac:dyDescent="0.3">
      <c r="A14" s="44" t="s">
        <v>98</v>
      </c>
      <c r="B14" s="44" t="s">
        <v>98</v>
      </c>
      <c r="C14" s="44" t="s">
        <v>151</v>
      </c>
      <c r="D14" s="44" t="s">
        <v>152</v>
      </c>
      <c r="E14" s="44" t="s">
        <v>132</v>
      </c>
      <c r="F14" s="44" t="s">
        <v>153</v>
      </c>
      <c r="G14" s="44" t="s">
        <v>154</v>
      </c>
      <c r="H14">
        <v>0.53</v>
      </c>
      <c r="I14">
        <v>0</v>
      </c>
      <c r="J14" s="44" t="s">
        <v>98</v>
      </c>
      <c r="K14">
        <v>480</v>
      </c>
      <c r="L14" t="s">
        <v>321</v>
      </c>
    </row>
    <row r="15" spans="1:13" x14ac:dyDescent="0.3">
      <c r="A15" s="44" t="s">
        <v>98</v>
      </c>
      <c r="B15" s="44" t="s">
        <v>98</v>
      </c>
      <c r="C15" s="44" t="s">
        <v>151</v>
      </c>
      <c r="D15" s="44" t="s">
        <v>152</v>
      </c>
      <c r="E15" s="44" t="s">
        <v>132</v>
      </c>
      <c r="F15" s="44" t="s">
        <v>155</v>
      </c>
      <c r="G15" s="44" t="s">
        <v>156</v>
      </c>
      <c r="H15">
        <v>0.7</v>
      </c>
      <c r="I15">
        <v>0</v>
      </c>
      <c r="J15" s="44" t="s">
        <v>98</v>
      </c>
      <c r="K15">
        <v>2400</v>
      </c>
      <c r="L15" t="s">
        <v>321</v>
      </c>
    </row>
    <row r="16" spans="1:13" x14ac:dyDescent="0.3">
      <c r="A16" s="44" t="s">
        <v>98</v>
      </c>
      <c r="B16" s="44" t="s">
        <v>98</v>
      </c>
      <c r="C16" s="44" t="s">
        <v>151</v>
      </c>
      <c r="D16" s="44" t="s">
        <v>152</v>
      </c>
      <c r="E16" s="44" t="s">
        <v>132</v>
      </c>
      <c r="F16" s="44" t="s">
        <v>133</v>
      </c>
      <c r="G16" s="44" t="s">
        <v>134</v>
      </c>
      <c r="H16">
        <v>1.3660000000000001</v>
      </c>
      <c r="I16">
        <v>0</v>
      </c>
      <c r="J16" s="44" t="s">
        <v>98</v>
      </c>
      <c r="K16">
        <v>3628</v>
      </c>
      <c r="L16" t="s">
        <v>321</v>
      </c>
    </row>
    <row r="17" spans="1:13" x14ac:dyDescent="0.3">
      <c r="A17" s="44" t="s">
        <v>98</v>
      </c>
      <c r="B17" s="44" t="s">
        <v>98</v>
      </c>
      <c r="C17" s="44" t="s">
        <v>151</v>
      </c>
      <c r="D17" s="44" t="s">
        <v>152</v>
      </c>
      <c r="E17" s="44" t="s">
        <v>132</v>
      </c>
      <c r="F17" s="44" t="s">
        <v>157</v>
      </c>
      <c r="G17" s="44" t="s">
        <v>158</v>
      </c>
      <c r="H17">
        <v>0.05</v>
      </c>
      <c r="I17">
        <v>0</v>
      </c>
      <c r="J17" s="44" t="s">
        <v>98</v>
      </c>
      <c r="K17">
        <v>94.75</v>
      </c>
      <c r="L17" t="s">
        <v>323</v>
      </c>
    </row>
    <row r="18" spans="1:13" x14ac:dyDescent="0.3">
      <c r="A18" s="44" t="s">
        <v>98</v>
      </c>
      <c r="B18" s="44" t="s">
        <v>98</v>
      </c>
      <c r="C18" s="44" t="s">
        <v>151</v>
      </c>
      <c r="D18" s="44" t="s">
        <v>152</v>
      </c>
      <c r="E18" s="44" t="s">
        <v>132</v>
      </c>
      <c r="F18" s="44" t="s">
        <v>135</v>
      </c>
      <c r="G18" s="44" t="s">
        <v>136</v>
      </c>
      <c r="H18">
        <v>9.5000000000000001E-2</v>
      </c>
      <c r="I18">
        <v>0</v>
      </c>
      <c r="J18" s="44" t="s">
        <v>98</v>
      </c>
      <c r="K18">
        <v>86.45</v>
      </c>
      <c r="L18" t="s">
        <v>323</v>
      </c>
    </row>
    <row r="19" spans="1:13" x14ac:dyDescent="0.3">
      <c r="A19" s="44" t="s">
        <v>98</v>
      </c>
      <c r="B19" s="44" t="s">
        <v>98</v>
      </c>
      <c r="C19" s="44" t="s">
        <v>151</v>
      </c>
      <c r="D19" s="44" t="s">
        <v>152</v>
      </c>
      <c r="E19" s="44" t="s">
        <v>132</v>
      </c>
      <c r="F19" s="44" t="s">
        <v>135</v>
      </c>
      <c r="G19" s="44" t="s">
        <v>159</v>
      </c>
      <c r="H19">
        <v>1.5549999999999999</v>
      </c>
      <c r="I19">
        <v>0</v>
      </c>
      <c r="J19" s="44" t="s">
        <v>98</v>
      </c>
      <c r="K19">
        <v>921</v>
      </c>
      <c r="L19" t="s">
        <v>321</v>
      </c>
    </row>
    <row r="20" spans="1:13" x14ac:dyDescent="0.3">
      <c r="A20" s="44" t="s">
        <v>98</v>
      </c>
      <c r="B20" s="44" t="s">
        <v>98</v>
      </c>
      <c r="C20" s="44" t="s">
        <v>151</v>
      </c>
      <c r="D20" s="44" t="s">
        <v>152</v>
      </c>
      <c r="E20" s="44" t="s">
        <v>132</v>
      </c>
      <c r="F20" s="44" t="s">
        <v>137</v>
      </c>
      <c r="G20" s="44" t="s">
        <v>138</v>
      </c>
      <c r="H20">
        <v>29.9</v>
      </c>
      <c r="I20">
        <v>0</v>
      </c>
      <c r="J20" s="44" t="s">
        <v>98</v>
      </c>
      <c r="K20">
        <v>86900.25</v>
      </c>
      <c r="L20" t="s">
        <v>322</v>
      </c>
    </row>
    <row r="21" spans="1:13" x14ac:dyDescent="0.3">
      <c r="A21" s="44" t="s">
        <v>98</v>
      </c>
      <c r="B21" s="44" t="s">
        <v>98</v>
      </c>
      <c r="C21" s="44" t="s">
        <v>151</v>
      </c>
      <c r="D21" s="44" t="s">
        <v>152</v>
      </c>
      <c r="E21" s="44" t="s">
        <v>132</v>
      </c>
      <c r="F21" s="44" t="s">
        <v>139</v>
      </c>
      <c r="G21" s="44" t="s">
        <v>140</v>
      </c>
      <c r="H21">
        <v>55.936</v>
      </c>
      <c r="I21">
        <v>15</v>
      </c>
      <c r="J21" s="44" t="s">
        <v>98</v>
      </c>
      <c r="K21">
        <v>106577.57</v>
      </c>
      <c r="L21" t="s">
        <v>322</v>
      </c>
    </row>
    <row r="22" spans="1:13" x14ac:dyDescent="0.3">
      <c r="A22" s="44" t="s">
        <v>98</v>
      </c>
      <c r="B22" s="44" t="s">
        <v>98</v>
      </c>
      <c r="C22" s="44" t="s">
        <v>151</v>
      </c>
      <c r="D22" s="44" t="s">
        <v>152</v>
      </c>
      <c r="E22" s="44" t="s">
        <v>132</v>
      </c>
      <c r="F22" s="44" t="s">
        <v>141</v>
      </c>
      <c r="G22" s="44" t="s">
        <v>142</v>
      </c>
      <c r="H22">
        <v>27.105</v>
      </c>
      <c r="I22">
        <v>0</v>
      </c>
      <c r="J22" s="44" t="s">
        <v>98</v>
      </c>
      <c r="K22">
        <v>13552.5</v>
      </c>
      <c r="L22" t="s">
        <v>321</v>
      </c>
    </row>
    <row r="23" spans="1:13" x14ac:dyDescent="0.3">
      <c r="A23" s="44" t="s">
        <v>98</v>
      </c>
      <c r="B23" s="44" t="s">
        <v>98</v>
      </c>
      <c r="C23" s="44" t="s">
        <v>151</v>
      </c>
      <c r="D23" s="44" t="s">
        <v>152</v>
      </c>
      <c r="E23" s="44" t="s">
        <v>132</v>
      </c>
      <c r="F23" s="44" t="s">
        <v>143</v>
      </c>
      <c r="G23" s="44" t="s">
        <v>144</v>
      </c>
      <c r="H23">
        <v>2.472</v>
      </c>
      <c r="I23">
        <v>0</v>
      </c>
      <c r="J23" s="44" t="s">
        <v>98</v>
      </c>
      <c r="K23">
        <v>1236.7</v>
      </c>
      <c r="L23" t="s">
        <v>322</v>
      </c>
    </row>
    <row r="24" spans="1:13" ht="15" thickBot="1" x14ac:dyDescent="0.35">
      <c r="A24" s="44" t="s">
        <v>98</v>
      </c>
      <c r="B24" s="44" t="s">
        <v>98</v>
      </c>
      <c r="C24" s="44" t="s">
        <v>151</v>
      </c>
      <c r="D24" s="44" t="s">
        <v>152</v>
      </c>
      <c r="E24" s="44" t="s">
        <v>132</v>
      </c>
      <c r="F24" s="44" t="s">
        <v>147</v>
      </c>
      <c r="G24" s="44" t="s">
        <v>148</v>
      </c>
      <c r="H24">
        <v>6.2789999999999999</v>
      </c>
      <c r="I24">
        <v>0</v>
      </c>
      <c r="J24" s="44" t="s">
        <v>98</v>
      </c>
      <c r="K24">
        <v>7279.5</v>
      </c>
      <c r="L24" t="s">
        <v>323</v>
      </c>
    </row>
    <row r="25" spans="1:13" ht="15" thickBot="1" x14ac:dyDescent="0.35">
      <c r="A25" s="45"/>
      <c r="B25" s="46"/>
      <c r="C25" s="46"/>
      <c r="D25" s="47" t="s">
        <v>152</v>
      </c>
      <c r="E25" s="46"/>
      <c r="F25" s="46"/>
      <c r="G25" s="46"/>
      <c r="H25" s="46">
        <f>SUM(H14:H24)</f>
        <v>125.988</v>
      </c>
      <c r="I25" s="46"/>
      <c r="J25" s="46"/>
      <c r="K25" s="48">
        <f>SUM(K14:K24)</f>
        <v>223156.72000000003</v>
      </c>
      <c r="M25" s="43" t="s">
        <v>149</v>
      </c>
    </row>
    <row r="28" spans="1:13" x14ac:dyDescent="0.3">
      <c r="A28" s="43" t="s">
        <v>160</v>
      </c>
      <c r="B28" s="43"/>
      <c r="C28" s="43"/>
      <c r="D28" s="43"/>
    </row>
    <row r="29" spans="1:13" x14ac:dyDescent="0.3">
      <c r="A29" s="44" t="s">
        <v>98</v>
      </c>
      <c r="B29" s="44" t="s">
        <v>98</v>
      </c>
      <c r="C29" s="44" t="s">
        <v>151</v>
      </c>
      <c r="D29" s="44" t="s">
        <v>161</v>
      </c>
      <c r="E29" s="44" t="s">
        <v>132</v>
      </c>
      <c r="F29" s="44" t="s">
        <v>147</v>
      </c>
      <c r="G29" s="44" t="s">
        <v>148</v>
      </c>
      <c r="H29">
        <v>0.09</v>
      </c>
      <c r="I29">
        <v>0</v>
      </c>
      <c r="J29" s="44" t="s">
        <v>98</v>
      </c>
      <c r="K29">
        <v>135</v>
      </c>
    </row>
    <row r="30" spans="1:13" x14ac:dyDescent="0.3">
      <c r="A30" s="44" t="s">
        <v>98</v>
      </c>
      <c r="B30" s="44" t="s">
        <v>98</v>
      </c>
      <c r="C30" s="44" t="s">
        <v>151</v>
      </c>
      <c r="D30" s="44" t="s">
        <v>162</v>
      </c>
      <c r="E30" s="44" t="s">
        <v>132</v>
      </c>
      <c r="F30" s="44" t="s">
        <v>139</v>
      </c>
      <c r="G30" s="44" t="s">
        <v>140</v>
      </c>
      <c r="H30">
        <v>0.09</v>
      </c>
      <c r="I30">
        <v>0</v>
      </c>
      <c r="J30" s="44" t="s">
        <v>98</v>
      </c>
      <c r="K30">
        <v>95.85</v>
      </c>
    </row>
    <row r="31" spans="1:13" x14ac:dyDescent="0.3">
      <c r="A31" s="44" t="s">
        <v>98</v>
      </c>
      <c r="B31" s="44" t="s">
        <v>98</v>
      </c>
      <c r="C31" s="44" t="s">
        <v>151</v>
      </c>
      <c r="D31" s="44" t="s">
        <v>162</v>
      </c>
      <c r="E31" s="44" t="s">
        <v>132</v>
      </c>
      <c r="F31" s="44" t="s">
        <v>147</v>
      </c>
      <c r="G31" s="44" t="s">
        <v>148</v>
      </c>
      <c r="H31">
        <v>0.06</v>
      </c>
      <c r="I31">
        <v>0</v>
      </c>
      <c r="J31" s="44" t="s">
        <v>98</v>
      </c>
      <c r="K31">
        <v>60</v>
      </c>
    </row>
    <row r="32" spans="1:13" x14ac:dyDescent="0.3">
      <c r="A32" s="44" t="s">
        <v>98</v>
      </c>
      <c r="B32" s="44" t="s">
        <v>98</v>
      </c>
      <c r="C32" s="44" t="s">
        <v>151</v>
      </c>
      <c r="D32" s="44" t="s">
        <v>163</v>
      </c>
      <c r="E32" s="44" t="s">
        <v>132</v>
      </c>
      <c r="F32" s="44" t="s">
        <v>133</v>
      </c>
      <c r="G32" s="44" t="s">
        <v>134</v>
      </c>
      <c r="H32">
        <v>0.04</v>
      </c>
      <c r="I32">
        <v>0</v>
      </c>
      <c r="J32" s="44" t="s">
        <v>98</v>
      </c>
      <c r="K32">
        <v>20</v>
      </c>
    </row>
    <row r="33" spans="1:11" x14ac:dyDescent="0.3">
      <c r="A33" s="44" t="s">
        <v>98</v>
      </c>
      <c r="B33" s="44" t="s">
        <v>98</v>
      </c>
      <c r="C33" s="44" t="s">
        <v>151</v>
      </c>
      <c r="D33" s="44" t="s">
        <v>163</v>
      </c>
      <c r="E33" s="44" t="s">
        <v>132</v>
      </c>
      <c r="F33" s="44" t="s">
        <v>137</v>
      </c>
      <c r="G33" s="44" t="s">
        <v>138</v>
      </c>
      <c r="H33">
        <v>0.55000000000000004</v>
      </c>
      <c r="I33">
        <v>0</v>
      </c>
      <c r="J33" s="44" t="s">
        <v>98</v>
      </c>
      <c r="K33">
        <v>1816.25</v>
      </c>
    </row>
    <row r="34" spans="1:11" x14ac:dyDescent="0.3">
      <c r="A34" s="44" t="s">
        <v>98</v>
      </c>
      <c r="B34" s="44" t="s">
        <v>98</v>
      </c>
      <c r="C34" s="44" t="s">
        <v>151</v>
      </c>
      <c r="D34" s="44" t="s">
        <v>163</v>
      </c>
      <c r="E34" s="44" t="s">
        <v>132</v>
      </c>
      <c r="F34" s="44" t="s">
        <v>139</v>
      </c>
      <c r="G34" s="44" t="s">
        <v>140</v>
      </c>
      <c r="H34">
        <v>0.69</v>
      </c>
      <c r="I34">
        <v>0</v>
      </c>
      <c r="J34" s="44" t="s">
        <v>98</v>
      </c>
      <c r="K34">
        <v>1780.65</v>
      </c>
    </row>
    <row r="35" spans="1:11" x14ac:dyDescent="0.3">
      <c r="A35" s="44" t="s">
        <v>98</v>
      </c>
      <c r="B35" s="44" t="s">
        <v>98</v>
      </c>
      <c r="C35" s="44" t="s">
        <v>151</v>
      </c>
      <c r="D35" s="44" t="s">
        <v>163</v>
      </c>
      <c r="E35" s="44" t="s">
        <v>132</v>
      </c>
      <c r="F35" s="44" t="s">
        <v>141</v>
      </c>
      <c r="G35" s="44" t="s">
        <v>142</v>
      </c>
      <c r="H35">
        <v>0.39</v>
      </c>
      <c r="I35">
        <v>0</v>
      </c>
      <c r="J35" s="44" t="s">
        <v>98</v>
      </c>
      <c r="K35">
        <v>195</v>
      </c>
    </row>
    <row r="36" spans="1:11" x14ac:dyDescent="0.3">
      <c r="A36" s="44" t="s">
        <v>98</v>
      </c>
      <c r="B36" s="44" t="s">
        <v>98</v>
      </c>
      <c r="C36" s="44" t="s">
        <v>151</v>
      </c>
      <c r="D36" s="44" t="s">
        <v>163</v>
      </c>
      <c r="E36" s="44" t="s">
        <v>132</v>
      </c>
      <c r="F36" s="44" t="s">
        <v>147</v>
      </c>
      <c r="G36" s="44" t="s">
        <v>148</v>
      </c>
      <c r="H36">
        <v>0.03</v>
      </c>
      <c r="I36">
        <v>0</v>
      </c>
      <c r="J36" s="44" t="s">
        <v>98</v>
      </c>
      <c r="K36">
        <v>30</v>
      </c>
    </row>
    <row r="37" spans="1:11" x14ac:dyDescent="0.3">
      <c r="A37" s="44" t="s">
        <v>98</v>
      </c>
      <c r="B37" s="44" t="s">
        <v>98</v>
      </c>
      <c r="C37" s="44" t="s">
        <v>151</v>
      </c>
      <c r="D37" s="44" t="s">
        <v>164</v>
      </c>
      <c r="E37" s="44" t="s">
        <v>132</v>
      </c>
      <c r="F37" s="44" t="s">
        <v>137</v>
      </c>
      <c r="G37" s="44" t="s">
        <v>138</v>
      </c>
      <c r="H37">
        <v>0.33</v>
      </c>
      <c r="I37">
        <v>0</v>
      </c>
      <c r="J37" s="44" t="s">
        <v>98</v>
      </c>
      <c r="K37">
        <v>1122</v>
      </c>
    </row>
    <row r="38" spans="1:11" x14ac:dyDescent="0.3">
      <c r="A38" s="44" t="s">
        <v>98</v>
      </c>
      <c r="B38" s="44" t="s">
        <v>98</v>
      </c>
      <c r="C38" s="44" t="s">
        <v>151</v>
      </c>
      <c r="D38" s="44" t="s">
        <v>164</v>
      </c>
      <c r="E38" s="44" t="s">
        <v>132</v>
      </c>
      <c r="F38" s="44" t="s">
        <v>139</v>
      </c>
      <c r="G38" s="44" t="s">
        <v>140</v>
      </c>
      <c r="H38">
        <v>1.54</v>
      </c>
      <c r="I38">
        <v>0</v>
      </c>
      <c r="J38" s="44" t="s">
        <v>98</v>
      </c>
      <c r="K38">
        <v>3466.1</v>
      </c>
    </row>
    <row r="39" spans="1:11" x14ac:dyDescent="0.3">
      <c r="A39" s="44" t="s">
        <v>98</v>
      </c>
      <c r="B39" s="44" t="s">
        <v>98</v>
      </c>
      <c r="C39" s="44" t="s">
        <v>151</v>
      </c>
      <c r="D39" s="44" t="s">
        <v>164</v>
      </c>
      <c r="E39" s="44" t="s">
        <v>132</v>
      </c>
      <c r="F39" s="44" t="s">
        <v>141</v>
      </c>
      <c r="G39" s="44" t="s">
        <v>142</v>
      </c>
      <c r="H39">
        <v>0.17</v>
      </c>
      <c r="I39">
        <v>0</v>
      </c>
      <c r="J39" s="44" t="s">
        <v>98</v>
      </c>
      <c r="K39">
        <v>85</v>
      </c>
    </row>
    <row r="40" spans="1:11" x14ac:dyDescent="0.3">
      <c r="A40" s="44" t="s">
        <v>98</v>
      </c>
      <c r="B40" s="44" t="s">
        <v>98</v>
      </c>
      <c r="C40" s="44" t="s">
        <v>151</v>
      </c>
      <c r="D40" s="44" t="s">
        <v>164</v>
      </c>
      <c r="E40" s="44" t="s">
        <v>132</v>
      </c>
      <c r="F40" s="44" t="s">
        <v>147</v>
      </c>
      <c r="G40" s="44" t="s">
        <v>148</v>
      </c>
      <c r="H40">
        <v>0.11</v>
      </c>
      <c r="I40">
        <v>0</v>
      </c>
      <c r="J40" s="44" t="s">
        <v>98</v>
      </c>
      <c r="K40">
        <v>111</v>
      </c>
    </row>
    <row r="41" spans="1:11" x14ac:dyDescent="0.3">
      <c r="A41" s="44" t="s">
        <v>98</v>
      </c>
      <c r="B41" s="44" t="s">
        <v>98</v>
      </c>
      <c r="C41" s="44" t="s">
        <v>151</v>
      </c>
      <c r="D41" s="44" t="s">
        <v>165</v>
      </c>
      <c r="E41" s="44" t="s">
        <v>132</v>
      </c>
      <c r="F41" s="44" t="s">
        <v>133</v>
      </c>
      <c r="G41" s="44" t="s">
        <v>134</v>
      </c>
      <c r="H41">
        <v>0.05</v>
      </c>
      <c r="I41">
        <v>0</v>
      </c>
      <c r="J41" s="44" t="s">
        <v>98</v>
      </c>
      <c r="K41">
        <v>500</v>
      </c>
    </row>
    <row r="42" spans="1:11" x14ac:dyDescent="0.3">
      <c r="A42" s="44" t="s">
        <v>98</v>
      </c>
      <c r="B42" s="44" t="s">
        <v>98</v>
      </c>
      <c r="C42" s="44" t="s">
        <v>151</v>
      </c>
      <c r="D42" s="44" t="s">
        <v>165</v>
      </c>
      <c r="E42" s="44" t="s">
        <v>132</v>
      </c>
      <c r="F42" s="44" t="s">
        <v>137</v>
      </c>
      <c r="G42" s="44" t="s">
        <v>138</v>
      </c>
      <c r="H42">
        <v>0.48</v>
      </c>
      <c r="I42">
        <v>0</v>
      </c>
      <c r="J42" s="44" t="s">
        <v>98</v>
      </c>
      <c r="K42">
        <v>1116</v>
      </c>
    </row>
    <row r="43" spans="1:11" x14ac:dyDescent="0.3">
      <c r="A43" s="44" t="s">
        <v>98</v>
      </c>
      <c r="B43" s="44" t="s">
        <v>98</v>
      </c>
      <c r="C43" s="44" t="s">
        <v>151</v>
      </c>
      <c r="D43" s="44" t="s">
        <v>165</v>
      </c>
      <c r="E43" s="44" t="s">
        <v>132</v>
      </c>
      <c r="F43" s="44" t="s">
        <v>139</v>
      </c>
      <c r="G43" s="44" t="s">
        <v>140</v>
      </c>
      <c r="H43">
        <v>2.5099999999999998</v>
      </c>
      <c r="I43">
        <v>0</v>
      </c>
      <c r="J43" s="44" t="s">
        <v>98</v>
      </c>
      <c r="K43">
        <v>3171.15</v>
      </c>
    </row>
    <row r="44" spans="1:11" x14ac:dyDescent="0.3">
      <c r="A44" s="44" t="s">
        <v>98</v>
      </c>
      <c r="B44" s="44" t="s">
        <v>98</v>
      </c>
      <c r="C44" s="44" t="s">
        <v>151</v>
      </c>
      <c r="D44" s="44" t="s">
        <v>165</v>
      </c>
      <c r="E44" s="44" t="s">
        <v>132</v>
      </c>
      <c r="F44" s="44" t="s">
        <v>141</v>
      </c>
      <c r="G44" s="44" t="s">
        <v>142</v>
      </c>
      <c r="H44">
        <v>0.63</v>
      </c>
      <c r="I44">
        <v>0</v>
      </c>
      <c r="J44" s="44" t="s">
        <v>98</v>
      </c>
      <c r="K44">
        <v>315</v>
      </c>
    </row>
    <row r="45" spans="1:11" x14ac:dyDescent="0.3">
      <c r="A45" s="44" t="s">
        <v>98</v>
      </c>
      <c r="B45" s="44" t="s">
        <v>98</v>
      </c>
      <c r="C45" s="44" t="s">
        <v>151</v>
      </c>
      <c r="D45" s="44" t="s">
        <v>165</v>
      </c>
      <c r="E45" s="44" t="s">
        <v>132</v>
      </c>
      <c r="F45" s="44" t="s">
        <v>143</v>
      </c>
      <c r="G45" s="44" t="s">
        <v>144</v>
      </c>
      <c r="H45">
        <v>0.32</v>
      </c>
      <c r="I45">
        <v>0</v>
      </c>
      <c r="J45" s="44" t="s">
        <v>98</v>
      </c>
      <c r="K45">
        <v>128</v>
      </c>
    </row>
    <row r="46" spans="1:11" x14ac:dyDescent="0.3">
      <c r="A46" s="44" t="s">
        <v>98</v>
      </c>
      <c r="B46" s="44" t="s">
        <v>98</v>
      </c>
      <c r="C46" s="44" t="s">
        <v>151</v>
      </c>
      <c r="D46" s="44" t="s">
        <v>165</v>
      </c>
      <c r="E46" s="44" t="s">
        <v>132</v>
      </c>
      <c r="F46" s="44" t="s">
        <v>147</v>
      </c>
      <c r="G46" s="44" t="s">
        <v>148</v>
      </c>
      <c r="H46">
        <v>0.33</v>
      </c>
      <c r="I46">
        <v>0</v>
      </c>
      <c r="J46" s="44" t="s">
        <v>98</v>
      </c>
      <c r="K46">
        <v>365</v>
      </c>
    </row>
    <row r="47" spans="1:11" x14ac:dyDescent="0.3">
      <c r="A47" s="44" t="s">
        <v>98</v>
      </c>
      <c r="B47" s="44" t="s">
        <v>98</v>
      </c>
      <c r="C47" s="44" t="s">
        <v>151</v>
      </c>
      <c r="D47" s="44" t="s">
        <v>166</v>
      </c>
      <c r="E47" s="44" t="s">
        <v>132</v>
      </c>
      <c r="F47" s="44" t="s">
        <v>137</v>
      </c>
      <c r="G47" s="44" t="s">
        <v>138</v>
      </c>
      <c r="H47">
        <v>0.63</v>
      </c>
      <c r="I47">
        <v>0</v>
      </c>
      <c r="J47" s="44" t="s">
        <v>98</v>
      </c>
      <c r="K47">
        <v>2142</v>
      </c>
    </row>
    <row r="48" spans="1:11" x14ac:dyDescent="0.3">
      <c r="A48" s="44" t="s">
        <v>98</v>
      </c>
      <c r="B48" s="44" t="s">
        <v>98</v>
      </c>
      <c r="C48" s="44" t="s">
        <v>151</v>
      </c>
      <c r="D48" s="44" t="s">
        <v>167</v>
      </c>
      <c r="E48" s="44" t="s">
        <v>132</v>
      </c>
      <c r="F48" s="44" t="s">
        <v>137</v>
      </c>
      <c r="G48" s="44" t="s">
        <v>138</v>
      </c>
      <c r="H48">
        <v>0.05</v>
      </c>
      <c r="I48">
        <v>0</v>
      </c>
      <c r="J48" s="44" t="s">
        <v>98</v>
      </c>
      <c r="K48">
        <v>116.25</v>
      </c>
    </row>
    <row r="49" spans="1:11" x14ac:dyDescent="0.3">
      <c r="A49" s="44" t="s">
        <v>98</v>
      </c>
      <c r="B49" s="44" t="s">
        <v>98</v>
      </c>
      <c r="C49" s="44" t="s">
        <v>151</v>
      </c>
      <c r="D49" s="44" t="s">
        <v>167</v>
      </c>
      <c r="E49" s="44" t="s">
        <v>132</v>
      </c>
      <c r="F49" s="44" t="s">
        <v>139</v>
      </c>
      <c r="G49" s="44" t="s">
        <v>140</v>
      </c>
      <c r="H49">
        <v>0.18</v>
      </c>
      <c r="I49">
        <v>0</v>
      </c>
      <c r="J49" s="44" t="s">
        <v>98</v>
      </c>
      <c r="K49">
        <v>374.3</v>
      </c>
    </row>
    <row r="50" spans="1:11" x14ac:dyDescent="0.3">
      <c r="A50" s="44" t="s">
        <v>98</v>
      </c>
      <c r="B50" s="44" t="s">
        <v>98</v>
      </c>
      <c r="C50" s="44" t="s">
        <v>151</v>
      </c>
      <c r="D50" s="44" t="s">
        <v>167</v>
      </c>
      <c r="E50" s="44" t="s">
        <v>132</v>
      </c>
      <c r="F50" s="44" t="s">
        <v>141</v>
      </c>
      <c r="G50" s="44" t="s">
        <v>142</v>
      </c>
      <c r="H50">
        <v>0.27</v>
      </c>
      <c r="I50">
        <v>0</v>
      </c>
      <c r="J50" s="44" t="s">
        <v>98</v>
      </c>
      <c r="K50">
        <v>135</v>
      </c>
    </row>
    <row r="51" spans="1:11" x14ac:dyDescent="0.3">
      <c r="A51" s="44" t="s">
        <v>98</v>
      </c>
      <c r="B51" s="44" t="s">
        <v>98</v>
      </c>
      <c r="C51" s="44" t="s">
        <v>151</v>
      </c>
      <c r="D51" s="44" t="s">
        <v>167</v>
      </c>
      <c r="E51" s="44" t="s">
        <v>132</v>
      </c>
      <c r="F51" s="44" t="s">
        <v>147</v>
      </c>
      <c r="G51" s="44" t="s">
        <v>148</v>
      </c>
      <c r="H51">
        <v>0.14000000000000001</v>
      </c>
      <c r="I51">
        <v>0</v>
      </c>
      <c r="J51" s="44" t="s">
        <v>98</v>
      </c>
      <c r="K51">
        <v>160</v>
      </c>
    </row>
    <row r="52" spans="1:11" x14ac:dyDescent="0.3">
      <c r="A52" s="44" t="s">
        <v>98</v>
      </c>
      <c r="B52" s="44" t="s">
        <v>98</v>
      </c>
      <c r="C52" s="44" t="s">
        <v>151</v>
      </c>
      <c r="D52" s="44" t="s">
        <v>168</v>
      </c>
      <c r="E52" s="44" t="s">
        <v>132</v>
      </c>
      <c r="F52" s="44" t="s">
        <v>137</v>
      </c>
      <c r="G52" s="44" t="s">
        <v>138</v>
      </c>
      <c r="H52">
        <v>2.67</v>
      </c>
      <c r="I52">
        <v>0</v>
      </c>
      <c r="J52" s="44" t="s">
        <v>98</v>
      </c>
      <c r="K52">
        <v>9078</v>
      </c>
    </row>
    <row r="53" spans="1:11" x14ac:dyDescent="0.3">
      <c r="A53" s="44" t="s">
        <v>98</v>
      </c>
      <c r="B53" s="44" t="s">
        <v>98</v>
      </c>
      <c r="C53" s="44" t="s">
        <v>151</v>
      </c>
      <c r="D53" s="44" t="s">
        <v>168</v>
      </c>
      <c r="E53" s="44" t="s">
        <v>132</v>
      </c>
      <c r="F53" s="44" t="s">
        <v>139</v>
      </c>
      <c r="G53" s="44" t="s">
        <v>140</v>
      </c>
      <c r="H53">
        <v>1.81</v>
      </c>
      <c r="I53">
        <v>0</v>
      </c>
      <c r="J53" s="44" t="s">
        <v>98</v>
      </c>
      <c r="K53">
        <v>4168.6499999999996</v>
      </c>
    </row>
    <row r="54" spans="1:11" x14ac:dyDescent="0.3">
      <c r="A54" s="44" t="s">
        <v>98</v>
      </c>
      <c r="B54" s="44" t="s">
        <v>98</v>
      </c>
      <c r="C54" s="44" t="s">
        <v>151</v>
      </c>
      <c r="D54" s="44" t="s">
        <v>168</v>
      </c>
      <c r="E54" s="44" t="s">
        <v>132</v>
      </c>
      <c r="F54" s="44" t="s">
        <v>147</v>
      </c>
      <c r="G54" s="44" t="s">
        <v>148</v>
      </c>
      <c r="H54">
        <v>0.02</v>
      </c>
      <c r="I54">
        <v>0</v>
      </c>
      <c r="J54" s="44" t="s">
        <v>98</v>
      </c>
      <c r="K54">
        <v>30</v>
      </c>
    </row>
    <row r="55" spans="1:11" x14ac:dyDescent="0.3">
      <c r="A55" s="44" t="s">
        <v>98</v>
      </c>
      <c r="B55" s="44" t="s">
        <v>98</v>
      </c>
      <c r="C55" s="44" t="s">
        <v>151</v>
      </c>
      <c r="D55" s="44" t="s">
        <v>169</v>
      </c>
      <c r="E55" s="44" t="s">
        <v>132</v>
      </c>
      <c r="F55" s="44" t="s">
        <v>137</v>
      </c>
      <c r="G55" s="44" t="s">
        <v>138</v>
      </c>
      <c r="H55">
        <v>3.3</v>
      </c>
      <c r="I55">
        <v>0</v>
      </c>
      <c r="J55" s="44" t="s">
        <v>98</v>
      </c>
      <c r="K55">
        <v>10360</v>
      </c>
    </row>
    <row r="56" spans="1:11" x14ac:dyDescent="0.3">
      <c r="A56" s="44" t="s">
        <v>98</v>
      </c>
      <c r="B56" s="44" t="s">
        <v>98</v>
      </c>
      <c r="C56" s="44" t="s">
        <v>151</v>
      </c>
      <c r="D56" s="44" t="s">
        <v>169</v>
      </c>
      <c r="E56" s="44" t="s">
        <v>132</v>
      </c>
      <c r="F56" s="44" t="s">
        <v>139</v>
      </c>
      <c r="G56" s="44" t="s">
        <v>140</v>
      </c>
      <c r="H56">
        <v>0.57999999999999996</v>
      </c>
      <c r="I56">
        <v>0</v>
      </c>
      <c r="J56" s="44" t="s">
        <v>98</v>
      </c>
      <c r="K56">
        <v>1364.7</v>
      </c>
    </row>
    <row r="57" spans="1:11" x14ac:dyDescent="0.3">
      <c r="A57" s="44" t="s">
        <v>98</v>
      </c>
      <c r="B57" s="44" t="s">
        <v>98</v>
      </c>
      <c r="C57" s="44" t="s">
        <v>151</v>
      </c>
      <c r="D57" s="44" t="s">
        <v>169</v>
      </c>
      <c r="E57" s="44" t="s">
        <v>132</v>
      </c>
      <c r="F57" s="44" t="s">
        <v>141</v>
      </c>
      <c r="G57" s="44" t="s">
        <v>142</v>
      </c>
      <c r="H57">
        <v>0.12</v>
      </c>
      <c r="I57">
        <v>0</v>
      </c>
      <c r="J57" s="44" t="s">
        <v>98</v>
      </c>
      <c r="K57">
        <v>60</v>
      </c>
    </row>
    <row r="58" spans="1:11" x14ac:dyDescent="0.3">
      <c r="A58" s="44" t="s">
        <v>98</v>
      </c>
      <c r="B58" s="44" t="s">
        <v>98</v>
      </c>
      <c r="C58" s="44" t="s">
        <v>151</v>
      </c>
      <c r="D58" s="44" t="s">
        <v>169</v>
      </c>
      <c r="E58" s="44" t="s">
        <v>132</v>
      </c>
      <c r="F58" s="44" t="s">
        <v>143</v>
      </c>
      <c r="G58" s="44" t="s">
        <v>144</v>
      </c>
      <c r="H58">
        <v>7.0000000000000007E-2</v>
      </c>
      <c r="I58">
        <v>0</v>
      </c>
      <c r="J58" s="44" t="s">
        <v>98</v>
      </c>
      <c r="K58">
        <v>28</v>
      </c>
    </row>
    <row r="59" spans="1:11" x14ac:dyDescent="0.3">
      <c r="A59" s="44" t="s">
        <v>98</v>
      </c>
      <c r="B59" s="44" t="s">
        <v>98</v>
      </c>
      <c r="C59" s="44" t="s">
        <v>151</v>
      </c>
      <c r="D59" s="44" t="s">
        <v>169</v>
      </c>
      <c r="E59" s="44" t="s">
        <v>132</v>
      </c>
      <c r="F59" s="44" t="s">
        <v>147</v>
      </c>
      <c r="G59" s="44" t="s">
        <v>148</v>
      </c>
      <c r="H59">
        <v>0.12</v>
      </c>
      <c r="I59">
        <v>0</v>
      </c>
      <c r="J59" s="44" t="s">
        <v>98</v>
      </c>
      <c r="K59">
        <v>115</v>
      </c>
    </row>
    <row r="60" spans="1:11" x14ac:dyDescent="0.3">
      <c r="A60" s="44" t="s">
        <v>98</v>
      </c>
      <c r="B60" s="44" t="s">
        <v>98</v>
      </c>
      <c r="C60" s="44" t="s">
        <v>151</v>
      </c>
      <c r="D60" s="44" t="s">
        <v>170</v>
      </c>
      <c r="E60" s="44" t="s">
        <v>132</v>
      </c>
      <c r="F60" s="44" t="s">
        <v>137</v>
      </c>
      <c r="G60" s="44" t="s">
        <v>138</v>
      </c>
      <c r="H60">
        <v>0.26</v>
      </c>
      <c r="I60">
        <v>0</v>
      </c>
      <c r="J60" s="44" t="s">
        <v>98</v>
      </c>
      <c r="K60">
        <v>884</v>
      </c>
    </row>
    <row r="61" spans="1:11" x14ac:dyDescent="0.3">
      <c r="A61" s="44" t="s">
        <v>98</v>
      </c>
      <c r="B61" s="44" t="s">
        <v>98</v>
      </c>
      <c r="C61" s="44" t="s">
        <v>151</v>
      </c>
      <c r="D61" s="44" t="s">
        <v>170</v>
      </c>
      <c r="E61" s="44" t="s">
        <v>132</v>
      </c>
      <c r="F61" s="44" t="s">
        <v>139</v>
      </c>
      <c r="G61" s="44" t="s">
        <v>140</v>
      </c>
      <c r="H61">
        <v>0.68</v>
      </c>
      <c r="I61">
        <v>0</v>
      </c>
      <c r="J61" s="44" t="s">
        <v>98</v>
      </c>
      <c r="K61">
        <v>1770</v>
      </c>
    </row>
    <row r="62" spans="1:11" x14ac:dyDescent="0.3">
      <c r="A62" s="44" t="s">
        <v>98</v>
      </c>
      <c r="B62" s="44" t="s">
        <v>98</v>
      </c>
      <c r="C62" s="44" t="s">
        <v>151</v>
      </c>
      <c r="D62" s="44" t="s">
        <v>170</v>
      </c>
      <c r="E62" s="44" t="s">
        <v>132</v>
      </c>
      <c r="F62" s="44" t="s">
        <v>141</v>
      </c>
      <c r="G62" s="44" t="s">
        <v>142</v>
      </c>
      <c r="H62">
        <v>1.33</v>
      </c>
      <c r="I62">
        <v>0</v>
      </c>
      <c r="J62" s="44" t="s">
        <v>98</v>
      </c>
      <c r="K62">
        <v>665</v>
      </c>
    </row>
    <row r="63" spans="1:11" x14ac:dyDescent="0.3">
      <c r="A63" s="44" t="s">
        <v>98</v>
      </c>
      <c r="B63" s="44" t="s">
        <v>98</v>
      </c>
      <c r="C63" s="44" t="s">
        <v>151</v>
      </c>
      <c r="D63" s="44" t="s">
        <v>170</v>
      </c>
      <c r="E63" s="44" t="s">
        <v>132</v>
      </c>
      <c r="F63" s="44" t="s">
        <v>147</v>
      </c>
      <c r="G63" s="44" t="s">
        <v>148</v>
      </c>
      <c r="H63">
        <v>0.02</v>
      </c>
      <c r="I63">
        <v>0</v>
      </c>
      <c r="J63" s="44" t="s">
        <v>98</v>
      </c>
      <c r="K63">
        <v>26</v>
      </c>
    </row>
    <row r="64" spans="1:11" x14ac:dyDescent="0.3">
      <c r="A64" s="44" t="s">
        <v>98</v>
      </c>
      <c r="B64" s="44" t="s">
        <v>98</v>
      </c>
      <c r="C64" s="44" t="s">
        <v>151</v>
      </c>
      <c r="D64" s="44" t="s">
        <v>171</v>
      </c>
      <c r="E64" s="44" t="s">
        <v>132</v>
      </c>
      <c r="F64" s="44" t="s">
        <v>137</v>
      </c>
      <c r="G64" s="44" t="s">
        <v>138</v>
      </c>
      <c r="H64">
        <v>3.92</v>
      </c>
      <c r="I64">
        <v>0</v>
      </c>
      <c r="J64" s="44" t="s">
        <v>98</v>
      </c>
      <c r="K64">
        <v>11102.75</v>
      </c>
    </row>
    <row r="65" spans="1:11" x14ac:dyDescent="0.3">
      <c r="A65" s="44" t="s">
        <v>98</v>
      </c>
      <c r="B65" s="44" t="s">
        <v>98</v>
      </c>
      <c r="C65" s="44" t="s">
        <v>151</v>
      </c>
      <c r="D65" s="44" t="s">
        <v>171</v>
      </c>
      <c r="E65" s="44" t="s">
        <v>132</v>
      </c>
      <c r="F65" s="44" t="s">
        <v>139</v>
      </c>
      <c r="G65" s="44" t="s">
        <v>140</v>
      </c>
      <c r="H65">
        <v>4.24</v>
      </c>
      <c r="I65">
        <v>0</v>
      </c>
      <c r="J65" s="44" t="s">
        <v>98</v>
      </c>
      <c r="K65">
        <v>6574</v>
      </c>
    </row>
    <row r="66" spans="1:11" x14ac:dyDescent="0.3">
      <c r="A66" s="44" t="s">
        <v>98</v>
      </c>
      <c r="B66" s="44" t="s">
        <v>98</v>
      </c>
      <c r="C66" s="44" t="s">
        <v>151</v>
      </c>
      <c r="D66" s="44" t="s">
        <v>171</v>
      </c>
      <c r="E66" s="44" t="s">
        <v>132</v>
      </c>
      <c r="F66" s="44" t="s">
        <v>141</v>
      </c>
      <c r="G66" s="44" t="s">
        <v>142</v>
      </c>
      <c r="H66">
        <v>1.1100000000000001</v>
      </c>
      <c r="I66">
        <v>0</v>
      </c>
      <c r="J66" s="44" t="s">
        <v>98</v>
      </c>
      <c r="K66">
        <v>555</v>
      </c>
    </row>
    <row r="67" spans="1:11" x14ac:dyDescent="0.3">
      <c r="A67" s="44" t="s">
        <v>98</v>
      </c>
      <c r="B67" s="44" t="s">
        <v>98</v>
      </c>
      <c r="C67" s="44" t="s">
        <v>151</v>
      </c>
      <c r="D67" s="44" t="s">
        <v>171</v>
      </c>
      <c r="E67" s="44" t="s">
        <v>132</v>
      </c>
      <c r="F67" s="44" t="s">
        <v>143</v>
      </c>
      <c r="G67" s="44" t="s">
        <v>144</v>
      </c>
      <c r="H67">
        <v>0.1</v>
      </c>
      <c r="I67">
        <v>0</v>
      </c>
      <c r="J67" s="44" t="s">
        <v>98</v>
      </c>
      <c r="K67">
        <v>40</v>
      </c>
    </row>
    <row r="68" spans="1:11" x14ac:dyDescent="0.3">
      <c r="A68" s="44" t="s">
        <v>98</v>
      </c>
      <c r="B68" s="44" t="s">
        <v>98</v>
      </c>
      <c r="C68" s="44" t="s">
        <v>151</v>
      </c>
      <c r="D68" s="44" t="s">
        <v>172</v>
      </c>
      <c r="E68" s="44" t="s">
        <v>132</v>
      </c>
      <c r="F68" s="44" t="s">
        <v>135</v>
      </c>
      <c r="G68" s="44" t="s">
        <v>159</v>
      </c>
      <c r="H68">
        <v>0.21</v>
      </c>
      <c r="I68">
        <v>0</v>
      </c>
      <c r="J68" s="44" t="s">
        <v>98</v>
      </c>
      <c r="K68">
        <v>191.1</v>
      </c>
    </row>
    <row r="69" spans="1:11" x14ac:dyDescent="0.3">
      <c r="A69" s="44" t="s">
        <v>98</v>
      </c>
      <c r="B69" s="44" t="s">
        <v>98</v>
      </c>
      <c r="C69" s="44" t="s">
        <v>151</v>
      </c>
      <c r="D69" s="44" t="s">
        <v>172</v>
      </c>
      <c r="E69" s="44" t="s">
        <v>132</v>
      </c>
      <c r="F69" s="44" t="s">
        <v>137</v>
      </c>
      <c r="G69" s="44" t="s">
        <v>138</v>
      </c>
      <c r="H69">
        <v>0.56999999999999995</v>
      </c>
      <c r="I69">
        <v>0</v>
      </c>
      <c r="J69" s="44" t="s">
        <v>98</v>
      </c>
      <c r="K69">
        <v>1938</v>
      </c>
    </row>
    <row r="70" spans="1:11" x14ac:dyDescent="0.3">
      <c r="A70" s="44" t="s">
        <v>98</v>
      </c>
      <c r="B70" s="44" t="s">
        <v>98</v>
      </c>
      <c r="C70" s="44" t="s">
        <v>151</v>
      </c>
      <c r="D70" s="44" t="s">
        <v>172</v>
      </c>
      <c r="E70" s="44" t="s">
        <v>132</v>
      </c>
      <c r="F70" s="44" t="s">
        <v>137</v>
      </c>
      <c r="G70" s="44" t="s">
        <v>138</v>
      </c>
      <c r="H70">
        <v>2.94</v>
      </c>
      <c r="I70">
        <v>0</v>
      </c>
      <c r="J70" s="44" t="s">
        <v>98</v>
      </c>
      <c r="K70">
        <v>6835.5</v>
      </c>
    </row>
    <row r="71" spans="1:11" x14ac:dyDescent="0.3">
      <c r="A71" s="44" t="s">
        <v>98</v>
      </c>
      <c r="B71" s="44" t="s">
        <v>98</v>
      </c>
      <c r="C71" s="44" t="s">
        <v>151</v>
      </c>
      <c r="D71" s="44" t="s">
        <v>172</v>
      </c>
      <c r="E71" s="44" t="s">
        <v>132</v>
      </c>
      <c r="F71" s="44" t="s">
        <v>139</v>
      </c>
      <c r="G71" s="44" t="s">
        <v>140</v>
      </c>
      <c r="H71">
        <v>0.62</v>
      </c>
      <c r="I71">
        <v>0</v>
      </c>
      <c r="J71" s="44" t="s">
        <v>98</v>
      </c>
      <c r="K71">
        <v>809.7</v>
      </c>
    </row>
    <row r="72" spans="1:11" x14ac:dyDescent="0.3">
      <c r="A72" s="44" t="s">
        <v>98</v>
      </c>
      <c r="B72" s="44" t="s">
        <v>98</v>
      </c>
      <c r="C72" s="44" t="s">
        <v>151</v>
      </c>
      <c r="D72" s="44" t="s">
        <v>172</v>
      </c>
      <c r="E72" s="44" t="s">
        <v>132</v>
      </c>
      <c r="F72" s="44" t="s">
        <v>141</v>
      </c>
      <c r="G72" s="44" t="s">
        <v>142</v>
      </c>
      <c r="H72">
        <v>0.31</v>
      </c>
      <c r="I72">
        <v>0</v>
      </c>
      <c r="J72" s="44" t="s">
        <v>98</v>
      </c>
      <c r="K72">
        <v>155</v>
      </c>
    </row>
    <row r="73" spans="1:11" x14ac:dyDescent="0.3">
      <c r="A73" s="44" t="s">
        <v>98</v>
      </c>
      <c r="B73" s="44" t="s">
        <v>98</v>
      </c>
      <c r="C73" s="44" t="s">
        <v>151</v>
      </c>
      <c r="D73" s="44" t="s">
        <v>172</v>
      </c>
      <c r="E73" s="44" t="s">
        <v>132</v>
      </c>
      <c r="F73" s="44" t="s">
        <v>143</v>
      </c>
      <c r="G73" s="44" t="s">
        <v>144</v>
      </c>
      <c r="H73">
        <v>0.39</v>
      </c>
      <c r="I73">
        <v>0</v>
      </c>
      <c r="J73" s="44" t="s">
        <v>98</v>
      </c>
      <c r="K73">
        <v>156</v>
      </c>
    </row>
    <row r="74" spans="1:11" x14ac:dyDescent="0.3">
      <c r="A74" s="44" t="s">
        <v>98</v>
      </c>
      <c r="B74" s="44" t="s">
        <v>98</v>
      </c>
      <c r="C74" s="44" t="s">
        <v>151</v>
      </c>
      <c r="D74" s="44" t="s">
        <v>172</v>
      </c>
      <c r="E74" s="44" t="s">
        <v>132</v>
      </c>
      <c r="F74" s="44" t="s">
        <v>147</v>
      </c>
      <c r="G74" s="44" t="s">
        <v>148</v>
      </c>
      <c r="H74">
        <v>0.61</v>
      </c>
      <c r="I74">
        <v>0</v>
      </c>
      <c r="J74" s="44" t="s">
        <v>98</v>
      </c>
      <c r="K74">
        <v>628</v>
      </c>
    </row>
    <row r="75" spans="1:11" x14ac:dyDescent="0.3">
      <c r="A75" s="44" t="s">
        <v>98</v>
      </c>
      <c r="B75" s="44" t="s">
        <v>98</v>
      </c>
      <c r="C75" s="44" t="s">
        <v>151</v>
      </c>
      <c r="D75" s="44" t="s">
        <v>173</v>
      </c>
      <c r="E75" s="44" t="s">
        <v>132</v>
      </c>
      <c r="F75" s="44" t="s">
        <v>135</v>
      </c>
      <c r="G75" s="44" t="s">
        <v>159</v>
      </c>
      <c r="H75">
        <v>0.02</v>
      </c>
      <c r="I75">
        <v>0</v>
      </c>
      <c r="J75" s="44" t="s">
        <v>98</v>
      </c>
      <c r="K75">
        <v>10</v>
      </c>
    </row>
    <row r="76" spans="1:11" x14ac:dyDescent="0.3">
      <c r="A76" s="44" t="s">
        <v>98</v>
      </c>
      <c r="B76" s="44" t="s">
        <v>98</v>
      </c>
      <c r="C76" s="44" t="s">
        <v>151</v>
      </c>
      <c r="D76" s="44" t="s">
        <v>173</v>
      </c>
      <c r="E76" s="44" t="s">
        <v>132</v>
      </c>
      <c r="F76" s="44" t="s">
        <v>137</v>
      </c>
      <c r="G76" s="44" t="s">
        <v>138</v>
      </c>
      <c r="H76">
        <v>3.85</v>
      </c>
      <c r="I76">
        <v>0</v>
      </c>
      <c r="J76" s="44" t="s">
        <v>98</v>
      </c>
      <c r="K76">
        <v>10854</v>
      </c>
    </row>
    <row r="77" spans="1:11" x14ac:dyDescent="0.3">
      <c r="A77" s="44" t="s">
        <v>98</v>
      </c>
      <c r="B77" s="44" t="s">
        <v>98</v>
      </c>
      <c r="C77" s="44" t="s">
        <v>151</v>
      </c>
      <c r="D77" s="44" t="s">
        <v>173</v>
      </c>
      <c r="E77" s="44" t="s">
        <v>132</v>
      </c>
      <c r="F77" s="44" t="s">
        <v>139</v>
      </c>
      <c r="G77" s="44" t="s">
        <v>140</v>
      </c>
      <c r="H77">
        <v>2.1</v>
      </c>
      <c r="I77">
        <v>0</v>
      </c>
      <c r="J77" s="44" t="s">
        <v>98</v>
      </c>
      <c r="K77">
        <v>2502.1</v>
      </c>
    </row>
    <row r="78" spans="1:11" x14ac:dyDescent="0.3">
      <c r="A78" s="44" t="s">
        <v>98</v>
      </c>
      <c r="B78" s="44" t="s">
        <v>98</v>
      </c>
      <c r="C78" s="44" t="s">
        <v>151</v>
      </c>
      <c r="D78" s="44" t="s">
        <v>173</v>
      </c>
      <c r="E78" s="44" t="s">
        <v>132</v>
      </c>
      <c r="F78" s="44" t="s">
        <v>141</v>
      </c>
      <c r="G78" s="44" t="s">
        <v>142</v>
      </c>
      <c r="H78">
        <v>0.40500000000000003</v>
      </c>
      <c r="I78">
        <v>0</v>
      </c>
      <c r="J78" s="44" t="s">
        <v>98</v>
      </c>
      <c r="K78">
        <v>202.5</v>
      </c>
    </row>
    <row r="79" spans="1:11" x14ac:dyDescent="0.3">
      <c r="A79" s="44" t="s">
        <v>98</v>
      </c>
      <c r="B79" s="44" t="s">
        <v>98</v>
      </c>
      <c r="C79" s="44" t="s">
        <v>151</v>
      </c>
      <c r="D79" s="44" t="s">
        <v>173</v>
      </c>
      <c r="E79" s="44" t="s">
        <v>132</v>
      </c>
      <c r="F79" s="44" t="s">
        <v>147</v>
      </c>
      <c r="G79" s="44" t="s">
        <v>148</v>
      </c>
      <c r="H79">
        <v>1.095</v>
      </c>
      <c r="I79">
        <v>0</v>
      </c>
      <c r="J79" s="44" t="s">
        <v>98</v>
      </c>
      <c r="K79">
        <v>1448.5</v>
      </c>
    </row>
    <row r="80" spans="1:11" x14ac:dyDescent="0.3">
      <c r="A80" s="44" t="s">
        <v>98</v>
      </c>
      <c r="B80" s="44" t="s">
        <v>98</v>
      </c>
      <c r="C80" s="44" t="s">
        <v>151</v>
      </c>
      <c r="D80" s="44" t="s">
        <v>174</v>
      </c>
      <c r="E80" s="44" t="s">
        <v>132</v>
      </c>
      <c r="F80" s="44" t="s">
        <v>155</v>
      </c>
      <c r="G80" s="44" t="s">
        <v>156</v>
      </c>
      <c r="H80">
        <v>0.04</v>
      </c>
      <c r="I80">
        <v>0</v>
      </c>
      <c r="J80" s="44" t="s">
        <v>98</v>
      </c>
      <c r="K80">
        <v>160</v>
      </c>
    </row>
    <row r="81" spans="1:11" x14ac:dyDescent="0.3">
      <c r="A81" s="44" t="s">
        <v>98</v>
      </c>
      <c r="B81" s="44" t="s">
        <v>98</v>
      </c>
      <c r="C81" s="44" t="s">
        <v>151</v>
      </c>
      <c r="D81" s="44" t="s">
        <v>174</v>
      </c>
      <c r="E81" s="44" t="s">
        <v>132</v>
      </c>
      <c r="F81" s="44" t="s">
        <v>133</v>
      </c>
      <c r="G81" s="44" t="s">
        <v>134</v>
      </c>
      <c r="H81">
        <v>0.05</v>
      </c>
      <c r="I81">
        <v>0</v>
      </c>
      <c r="J81" s="44" t="s">
        <v>98</v>
      </c>
      <c r="K81">
        <v>25</v>
      </c>
    </row>
    <row r="82" spans="1:11" x14ac:dyDescent="0.3">
      <c r="A82" s="44" t="s">
        <v>98</v>
      </c>
      <c r="B82" s="44" t="s">
        <v>98</v>
      </c>
      <c r="C82" s="44" t="s">
        <v>151</v>
      </c>
      <c r="D82" s="44" t="s">
        <v>174</v>
      </c>
      <c r="E82" s="44" t="s">
        <v>132</v>
      </c>
      <c r="F82" s="44" t="s">
        <v>135</v>
      </c>
      <c r="G82" s="44" t="s">
        <v>136</v>
      </c>
      <c r="H82">
        <v>0.22</v>
      </c>
      <c r="I82">
        <v>0</v>
      </c>
      <c r="J82" s="44" t="s">
        <v>98</v>
      </c>
      <c r="K82">
        <v>200.2</v>
      </c>
    </row>
    <row r="83" spans="1:11" x14ac:dyDescent="0.3">
      <c r="A83" s="44" t="s">
        <v>98</v>
      </c>
      <c r="B83" s="44" t="s">
        <v>98</v>
      </c>
      <c r="C83" s="44" t="s">
        <v>151</v>
      </c>
      <c r="D83" s="44" t="s">
        <v>174</v>
      </c>
      <c r="E83" s="44" t="s">
        <v>132</v>
      </c>
      <c r="F83" s="44" t="s">
        <v>135</v>
      </c>
      <c r="G83" s="44" t="s">
        <v>159</v>
      </c>
      <c r="H83">
        <v>0.06</v>
      </c>
      <c r="I83">
        <v>0</v>
      </c>
      <c r="J83" s="44" t="s">
        <v>98</v>
      </c>
      <c r="K83">
        <v>54.6</v>
      </c>
    </row>
    <row r="84" spans="1:11" x14ac:dyDescent="0.3">
      <c r="A84" s="44" t="s">
        <v>98</v>
      </c>
      <c r="B84" s="44" t="s">
        <v>98</v>
      </c>
      <c r="C84" s="44" t="s">
        <v>151</v>
      </c>
      <c r="D84" s="44" t="s">
        <v>174</v>
      </c>
      <c r="E84" s="44" t="s">
        <v>132</v>
      </c>
      <c r="F84" s="44" t="s">
        <v>137</v>
      </c>
      <c r="G84" s="44" t="s">
        <v>138</v>
      </c>
      <c r="H84">
        <v>3.06</v>
      </c>
      <c r="I84">
        <v>0</v>
      </c>
      <c r="J84" s="44" t="s">
        <v>98</v>
      </c>
      <c r="K84">
        <v>10404</v>
      </c>
    </row>
    <row r="85" spans="1:11" x14ac:dyDescent="0.3">
      <c r="A85" s="44" t="s">
        <v>98</v>
      </c>
      <c r="B85" s="44" t="s">
        <v>98</v>
      </c>
      <c r="C85" s="44" t="s">
        <v>151</v>
      </c>
      <c r="D85" s="44" t="s">
        <v>174</v>
      </c>
      <c r="E85" s="44" t="s">
        <v>132</v>
      </c>
      <c r="F85" s="44" t="s">
        <v>139</v>
      </c>
      <c r="G85" s="44" t="s">
        <v>140</v>
      </c>
      <c r="H85">
        <v>2.33</v>
      </c>
      <c r="I85">
        <v>0</v>
      </c>
      <c r="J85" s="44" t="s">
        <v>98</v>
      </c>
      <c r="K85">
        <v>2747.05</v>
      </c>
    </row>
    <row r="86" spans="1:11" x14ac:dyDescent="0.3">
      <c r="A86" s="44" t="s">
        <v>98</v>
      </c>
      <c r="B86" s="44" t="s">
        <v>98</v>
      </c>
      <c r="C86" s="44" t="s">
        <v>151</v>
      </c>
      <c r="D86" s="44" t="s">
        <v>174</v>
      </c>
      <c r="E86" s="44" t="s">
        <v>132</v>
      </c>
      <c r="F86" s="44" t="s">
        <v>147</v>
      </c>
      <c r="G86" s="44" t="s">
        <v>148</v>
      </c>
      <c r="H86">
        <v>0.35</v>
      </c>
      <c r="I86">
        <v>0</v>
      </c>
      <c r="J86" s="44" t="s">
        <v>98</v>
      </c>
      <c r="K86">
        <v>436</v>
      </c>
    </row>
    <row r="87" spans="1:11" x14ac:dyDescent="0.3">
      <c r="A87" s="44" t="s">
        <v>98</v>
      </c>
      <c r="B87" s="44" t="s">
        <v>98</v>
      </c>
      <c r="C87" s="44" t="s">
        <v>151</v>
      </c>
      <c r="D87" s="44" t="s">
        <v>175</v>
      </c>
      <c r="E87" s="44" t="s">
        <v>132</v>
      </c>
      <c r="F87" s="44" t="s">
        <v>137</v>
      </c>
      <c r="G87" s="44" t="s">
        <v>138</v>
      </c>
      <c r="H87">
        <v>0.48</v>
      </c>
      <c r="I87">
        <v>0</v>
      </c>
      <c r="J87" s="44" t="s">
        <v>98</v>
      </c>
      <c r="K87">
        <v>1632</v>
      </c>
    </row>
    <row r="88" spans="1:11" x14ac:dyDescent="0.3">
      <c r="A88" s="44" t="s">
        <v>98</v>
      </c>
      <c r="B88" s="44" t="s">
        <v>98</v>
      </c>
      <c r="C88" s="44" t="s">
        <v>151</v>
      </c>
      <c r="D88" s="44" t="s">
        <v>175</v>
      </c>
      <c r="E88" s="44" t="s">
        <v>132</v>
      </c>
      <c r="F88" s="44" t="s">
        <v>139</v>
      </c>
      <c r="G88" s="44" t="s">
        <v>140</v>
      </c>
      <c r="H88">
        <v>0.45</v>
      </c>
      <c r="I88">
        <v>0</v>
      </c>
      <c r="J88" s="44" t="s">
        <v>98</v>
      </c>
      <c r="K88">
        <v>1226.25</v>
      </c>
    </row>
    <row r="89" spans="1:11" x14ac:dyDescent="0.3">
      <c r="A89" s="44" t="s">
        <v>98</v>
      </c>
      <c r="B89" s="44" t="s">
        <v>98</v>
      </c>
      <c r="C89" s="44" t="s">
        <v>151</v>
      </c>
      <c r="D89" s="44" t="s">
        <v>175</v>
      </c>
      <c r="E89" s="44" t="s">
        <v>132</v>
      </c>
      <c r="F89" s="44" t="s">
        <v>141</v>
      </c>
      <c r="G89" s="44" t="s">
        <v>142</v>
      </c>
      <c r="H89">
        <v>0.76</v>
      </c>
      <c r="I89">
        <v>0</v>
      </c>
      <c r="J89" s="44" t="s">
        <v>98</v>
      </c>
      <c r="K89">
        <v>380</v>
      </c>
    </row>
    <row r="90" spans="1:11" x14ac:dyDescent="0.3">
      <c r="A90" s="44" t="s">
        <v>98</v>
      </c>
      <c r="B90" s="44" t="s">
        <v>98</v>
      </c>
      <c r="C90" s="44" t="s">
        <v>151</v>
      </c>
      <c r="D90" s="44" t="s">
        <v>175</v>
      </c>
      <c r="E90" s="44" t="s">
        <v>132</v>
      </c>
      <c r="F90" s="44" t="s">
        <v>143</v>
      </c>
      <c r="G90" s="44" t="s">
        <v>144</v>
      </c>
      <c r="H90">
        <v>0.03</v>
      </c>
      <c r="I90">
        <v>0</v>
      </c>
      <c r="J90" s="44" t="s">
        <v>98</v>
      </c>
      <c r="K90">
        <v>12</v>
      </c>
    </row>
    <row r="91" spans="1:11" x14ac:dyDescent="0.3">
      <c r="A91" s="44" t="s">
        <v>98</v>
      </c>
      <c r="B91" s="44" t="s">
        <v>98</v>
      </c>
      <c r="C91" s="44" t="s">
        <v>151</v>
      </c>
      <c r="D91" s="44" t="s">
        <v>175</v>
      </c>
      <c r="E91" s="44" t="s">
        <v>132</v>
      </c>
      <c r="F91" s="44" t="s">
        <v>147</v>
      </c>
      <c r="G91" s="44" t="s">
        <v>148</v>
      </c>
      <c r="H91">
        <v>0.05</v>
      </c>
      <c r="I91">
        <v>0</v>
      </c>
      <c r="J91" s="44" t="s">
        <v>98</v>
      </c>
      <c r="K91">
        <v>57</v>
      </c>
    </row>
    <row r="92" spans="1:11" x14ac:dyDescent="0.3">
      <c r="A92" s="44" t="s">
        <v>98</v>
      </c>
      <c r="B92" s="44" t="s">
        <v>98</v>
      </c>
      <c r="C92" s="44" t="s">
        <v>151</v>
      </c>
      <c r="D92" s="44" t="s">
        <v>176</v>
      </c>
      <c r="E92" s="44" t="s">
        <v>132</v>
      </c>
      <c r="F92" s="44" t="s">
        <v>137</v>
      </c>
      <c r="G92" s="44" t="s">
        <v>138</v>
      </c>
      <c r="H92">
        <v>0.1</v>
      </c>
      <c r="I92">
        <v>0</v>
      </c>
      <c r="J92" s="44" t="s">
        <v>98</v>
      </c>
      <c r="K92">
        <v>340</v>
      </c>
    </row>
    <row r="93" spans="1:11" x14ac:dyDescent="0.3">
      <c r="A93" s="44" t="s">
        <v>98</v>
      </c>
      <c r="B93" s="44" t="s">
        <v>98</v>
      </c>
      <c r="C93" s="44" t="s">
        <v>151</v>
      </c>
      <c r="D93" s="44" t="s">
        <v>176</v>
      </c>
      <c r="E93" s="44" t="s">
        <v>132</v>
      </c>
      <c r="F93" s="44" t="s">
        <v>139</v>
      </c>
      <c r="G93" s="44" t="s">
        <v>140</v>
      </c>
      <c r="H93">
        <v>0.5</v>
      </c>
      <c r="I93">
        <v>0</v>
      </c>
      <c r="J93" s="44" t="s">
        <v>98</v>
      </c>
      <c r="K93">
        <v>1063.7</v>
      </c>
    </row>
    <row r="94" spans="1:11" x14ac:dyDescent="0.3">
      <c r="A94" s="44" t="s">
        <v>98</v>
      </c>
      <c r="B94" s="44" t="s">
        <v>98</v>
      </c>
      <c r="C94" s="44" t="s">
        <v>151</v>
      </c>
      <c r="D94" s="44" t="s">
        <v>177</v>
      </c>
      <c r="E94" s="44" t="s">
        <v>132</v>
      </c>
      <c r="F94" s="44" t="s">
        <v>133</v>
      </c>
      <c r="G94" s="44" t="s">
        <v>134</v>
      </c>
      <c r="H94">
        <v>0.02</v>
      </c>
      <c r="I94">
        <v>0</v>
      </c>
      <c r="J94" s="44" t="s">
        <v>98</v>
      </c>
      <c r="K94">
        <v>200</v>
      </c>
    </row>
    <row r="95" spans="1:11" x14ac:dyDescent="0.3">
      <c r="A95" s="44" t="s">
        <v>98</v>
      </c>
      <c r="B95" s="44" t="s">
        <v>98</v>
      </c>
      <c r="C95" s="44" t="s">
        <v>151</v>
      </c>
      <c r="D95" s="44" t="s">
        <v>177</v>
      </c>
      <c r="E95" s="44" t="s">
        <v>132</v>
      </c>
      <c r="F95" s="44" t="s">
        <v>139</v>
      </c>
      <c r="G95" s="44" t="s">
        <v>140</v>
      </c>
      <c r="H95">
        <v>0.16</v>
      </c>
      <c r="I95">
        <v>0</v>
      </c>
      <c r="J95" s="44" t="s">
        <v>98</v>
      </c>
      <c r="K95">
        <v>203.6</v>
      </c>
    </row>
    <row r="96" spans="1:11" x14ac:dyDescent="0.3">
      <c r="A96" s="44" t="s">
        <v>98</v>
      </c>
      <c r="B96" s="44" t="s">
        <v>98</v>
      </c>
      <c r="C96" s="44" t="s">
        <v>151</v>
      </c>
      <c r="D96" s="44" t="s">
        <v>177</v>
      </c>
      <c r="E96" s="44" t="s">
        <v>132</v>
      </c>
      <c r="F96" s="44" t="s">
        <v>147</v>
      </c>
      <c r="G96" s="44" t="s">
        <v>148</v>
      </c>
      <c r="H96">
        <v>0.04</v>
      </c>
      <c r="I96">
        <v>0</v>
      </c>
      <c r="J96" s="44" t="s">
        <v>98</v>
      </c>
      <c r="K96">
        <v>60</v>
      </c>
    </row>
    <row r="97" spans="1:11" x14ac:dyDescent="0.3">
      <c r="A97" s="44" t="s">
        <v>98</v>
      </c>
      <c r="B97" s="44" t="s">
        <v>98</v>
      </c>
      <c r="C97" s="44" t="s">
        <v>151</v>
      </c>
      <c r="D97" s="44" t="s">
        <v>178</v>
      </c>
      <c r="E97" s="44" t="s">
        <v>132</v>
      </c>
      <c r="F97" s="44" t="s">
        <v>135</v>
      </c>
      <c r="G97" s="44" t="s">
        <v>159</v>
      </c>
      <c r="H97">
        <v>0.06</v>
      </c>
      <c r="I97">
        <v>0</v>
      </c>
      <c r="J97" s="44" t="s">
        <v>98</v>
      </c>
      <c r="K97">
        <v>30</v>
      </c>
    </row>
    <row r="98" spans="1:11" x14ac:dyDescent="0.3">
      <c r="A98" s="44" t="s">
        <v>98</v>
      </c>
      <c r="B98" s="44" t="s">
        <v>98</v>
      </c>
      <c r="C98" s="44" t="s">
        <v>151</v>
      </c>
      <c r="D98" s="44" t="s">
        <v>179</v>
      </c>
      <c r="E98" s="44" t="s">
        <v>132</v>
      </c>
      <c r="F98" s="44" t="s">
        <v>153</v>
      </c>
      <c r="G98" s="44" t="s">
        <v>154</v>
      </c>
      <c r="H98">
        <v>0.08</v>
      </c>
      <c r="I98">
        <v>0</v>
      </c>
      <c r="J98" s="44" t="s">
        <v>98</v>
      </c>
      <c r="K98">
        <v>0</v>
      </c>
    </row>
    <row r="99" spans="1:11" x14ac:dyDescent="0.3">
      <c r="A99" s="44" t="s">
        <v>98</v>
      </c>
      <c r="B99" s="44" t="s">
        <v>98</v>
      </c>
      <c r="C99" s="44" t="s">
        <v>151</v>
      </c>
      <c r="D99" s="44" t="s">
        <v>179</v>
      </c>
      <c r="E99" s="44" t="s">
        <v>132</v>
      </c>
      <c r="F99" s="44" t="s">
        <v>155</v>
      </c>
      <c r="G99" s="44" t="s">
        <v>156</v>
      </c>
      <c r="H99">
        <v>0.05</v>
      </c>
      <c r="I99">
        <v>0</v>
      </c>
      <c r="J99" s="44" t="s">
        <v>98</v>
      </c>
      <c r="K99">
        <v>200</v>
      </c>
    </row>
    <row r="100" spans="1:11" x14ac:dyDescent="0.3">
      <c r="A100" s="44" t="s">
        <v>98</v>
      </c>
      <c r="B100" s="44" t="s">
        <v>98</v>
      </c>
      <c r="C100" s="44" t="s">
        <v>151</v>
      </c>
      <c r="D100" s="44" t="s">
        <v>179</v>
      </c>
      <c r="E100" s="44" t="s">
        <v>132</v>
      </c>
      <c r="F100" s="44" t="s">
        <v>133</v>
      </c>
      <c r="G100" s="44" t="s">
        <v>134</v>
      </c>
      <c r="H100">
        <v>0.01</v>
      </c>
      <c r="I100">
        <v>0</v>
      </c>
      <c r="J100" s="44" t="s">
        <v>98</v>
      </c>
      <c r="K100">
        <v>5</v>
      </c>
    </row>
    <row r="101" spans="1:11" x14ac:dyDescent="0.3">
      <c r="A101" s="44" t="s">
        <v>98</v>
      </c>
      <c r="B101" s="44" t="s">
        <v>98</v>
      </c>
      <c r="C101" s="44" t="s">
        <v>151</v>
      </c>
      <c r="D101" s="44" t="s">
        <v>179</v>
      </c>
      <c r="E101" s="44" t="s">
        <v>132</v>
      </c>
      <c r="F101" s="44" t="s">
        <v>135</v>
      </c>
      <c r="G101" s="44" t="s">
        <v>136</v>
      </c>
      <c r="H101">
        <v>0.13</v>
      </c>
      <c r="I101">
        <v>0</v>
      </c>
      <c r="J101" s="44" t="s">
        <v>98</v>
      </c>
      <c r="K101">
        <v>118.3</v>
      </c>
    </row>
    <row r="102" spans="1:11" x14ac:dyDescent="0.3">
      <c r="A102" s="44" t="s">
        <v>98</v>
      </c>
      <c r="B102" s="44" t="s">
        <v>98</v>
      </c>
      <c r="C102" s="44" t="s">
        <v>151</v>
      </c>
      <c r="D102" s="44" t="s">
        <v>179</v>
      </c>
      <c r="E102" s="44" t="s">
        <v>132</v>
      </c>
      <c r="F102" s="44" t="s">
        <v>135</v>
      </c>
      <c r="G102" s="44" t="s">
        <v>159</v>
      </c>
      <c r="H102">
        <v>0.01</v>
      </c>
      <c r="I102">
        <v>0</v>
      </c>
      <c r="J102" s="44" t="s">
        <v>98</v>
      </c>
      <c r="K102">
        <v>9.1</v>
      </c>
    </row>
    <row r="103" spans="1:11" x14ac:dyDescent="0.3">
      <c r="A103" s="44" t="s">
        <v>98</v>
      </c>
      <c r="B103" s="44" t="s">
        <v>98</v>
      </c>
      <c r="C103" s="44" t="s">
        <v>151</v>
      </c>
      <c r="D103" s="44" t="s">
        <v>179</v>
      </c>
      <c r="E103" s="44" t="s">
        <v>132</v>
      </c>
      <c r="F103" s="44" t="s">
        <v>137</v>
      </c>
      <c r="G103" s="44" t="s">
        <v>138</v>
      </c>
      <c r="H103">
        <v>0.46</v>
      </c>
      <c r="I103">
        <v>0</v>
      </c>
      <c r="J103" s="44" t="s">
        <v>98</v>
      </c>
      <c r="K103">
        <v>1478</v>
      </c>
    </row>
    <row r="104" spans="1:11" x14ac:dyDescent="0.3">
      <c r="A104" s="44" t="s">
        <v>98</v>
      </c>
      <c r="B104" s="44" t="s">
        <v>98</v>
      </c>
      <c r="C104" s="44" t="s">
        <v>151</v>
      </c>
      <c r="D104" s="44" t="s">
        <v>179</v>
      </c>
      <c r="E104" s="44" t="s">
        <v>132</v>
      </c>
      <c r="F104" s="44" t="s">
        <v>139</v>
      </c>
      <c r="G104" s="44" t="s">
        <v>140</v>
      </c>
      <c r="H104">
        <v>0.84</v>
      </c>
      <c r="I104">
        <v>0</v>
      </c>
      <c r="J104" s="44" t="s">
        <v>98</v>
      </c>
      <c r="K104">
        <v>1741.2</v>
      </c>
    </row>
    <row r="105" spans="1:11" x14ac:dyDescent="0.3">
      <c r="A105" s="44" t="s">
        <v>98</v>
      </c>
      <c r="B105" s="44" t="s">
        <v>98</v>
      </c>
      <c r="C105" s="44" t="s">
        <v>151</v>
      </c>
      <c r="D105" s="44" t="s">
        <v>179</v>
      </c>
      <c r="E105" s="44" t="s">
        <v>132</v>
      </c>
      <c r="F105" s="44" t="s">
        <v>141</v>
      </c>
      <c r="G105" s="44" t="s">
        <v>142</v>
      </c>
      <c r="H105">
        <v>0.72</v>
      </c>
      <c r="I105">
        <v>0</v>
      </c>
      <c r="J105" s="44" t="s">
        <v>98</v>
      </c>
      <c r="K105">
        <v>360</v>
      </c>
    </row>
    <row r="106" spans="1:11" x14ac:dyDescent="0.3">
      <c r="A106" s="44" t="s">
        <v>98</v>
      </c>
      <c r="B106" s="44" t="s">
        <v>98</v>
      </c>
      <c r="C106" s="44" t="s">
        <v>151</v>
      </c>
      <c r="D106" s="44" t="s">
        <v>179</v>
      </c>
      <c r="E106" s="44" t="s">
        <v>132</v>
      </c>
      <c r="F106" s="44" t="s">
        <v>143</v>
      </c>
      <c r="G106" s="44" t="s">
        <v>144</v>
      </c>
      <c r="H106">
        <v>0.06</v>
      </c>
      <c r="I106">
        <v>0</v>
      </c>
      <c r="J106" s="44" t="s">
        <v>98</v>
      </c>
      <c r="K106">
        <v>44.1</v>
      </c>
    </row>
    <row r="107" spans="1:11" x14ac:dyDescent="0.3">
      <c r="A107" s="44" t="s">
        <v>98</v>
      </c>
      <c r="B107" s="44" t="s">
        <v>98</v>
      </c>
      <c r="C107" s="44" t="s">
        <v>151</v>
      </c>
      <c r="D107" s="44" t="s">
        <v>179</v>
      </c>
      <c r="E107" s="44" t="s">
        <v>132</v>
      </c>
      <c r="F107" s="44" t="s">
        <v>147</v>
      </c>
      <c r="G107" s="44" t="s">
        <v>148</v>
      </c>
      <c r="H107">
        <v>0.65</v>
      </c>
      <c r="I107">
        <v>0</v>
      </c>
      <c r="J107" s="44" t="s">
        <v>98</v>
      </c>
      <c r="K107">
        <v>833</v>
      </c>
    </row>
    <row r="108" spans="1:11" x14ac:dyDescent="0.3">
      <c r="A108" s="44" t="s">
        <v>98</v>
      </c>
      <c r="B108" s="44" t="s">
        <v>98</v>
      </c>
      <c r="C108" s="44" t="s">
        <v>151</v>
      </c>
      <c r="D108" s="44" t="s">
        <v>180</v>
      </c>
      <c r="E108" s="44" t="s">
        <v>132</v>
      </c>
      <c r="F108" s="44" t="s">
        <v>139</v>
      </c>
      <c r="G108" s="44" t="s">
        <v>140</v>
      </c>
      <c r="H108">
        <v>2.64</v>
      </c>
      <c r="I108">
        <v>0</v>
      </c>
      <c r="J108" s="44" t="s">
        <v>98</v>
      </c>
      <c r="K108">
        <v>7194</v>
      </c>
    </row>
    <row r="109" spans="1:11" x14ac:dyDescent="0.3">
      <c r="A109" s="44" t="s">
        <v>98</v>
      </c>
      <c r="B109" s="44" t="s">
        <v>98</v>
      </c>
      <c r="C109" s="44" t="s">
        <v>151</v>
      </c>
      <c r="D109" s="44" t="s">
        <v>181</v>
      </c>
      <c r="E109" s="44" t="s">
        <v>132</v>
      </c>
      <c r="F109" s="44" t="s">
        <v>147</v>
      </c>
      <c r="G109" s="44" t="s">
        <v>148</v>
      </c>
      <c r="H109">
        <v>7.0000000000000007E-2</v>
      </c>
      <c r="I109">
        <v>0</v>
      </c>
      <c r="J109" s="44" t="s">
        <v>98</v>
      </c>
      <c r="K109">
        <v>91</v>
      </c>
    </row>
    <row r="110" spans="1:11" x14ac:dyDescent="0.3">
      <c r="A110" s="44" t="s">
        <v>98</v>
      </c>
      <c r="B110" s="44" t="s">
        <v>98</v>
      </c>
      <c r="C110" s="44" t="s">
        <v>151</v>
      </c>
      <c r="D110" s="44" t="s">
        <v>182</v>
      </c>
      <c r="E110" s="44" t="s">
        <v>132</v>
      </c>
      <c r="F110" s="44" t="s">
        <v>139</v>
      </c>
      <c r="G110" s="44" t="s">
        <v>140</v>
      </c>
      <c r="H110">
        <v>0.24</v>
      </c>
      <c r="I110">
        <v>0</v>
      </c>
      <c r="J110" s="44" t="s">
        <v>98</v>
      </c>
      <c r="K110">
        <v>255.6</v>
      </c>
    </row>
    <row r="111" spans="1:11" x14ac:dyDescent="0.3">
      <c r="A111" s="44" t="s">
        <v>98</v>
      </c>
      <c r="B111" s="44" t="s">
        <v>98</v>
      </c>
      <c r="C111" s="44" t="s">
        <v>151</v>
      </c>
      <c r="D111" s="44" t="s">
        <v>182</v>
      </c>
      <c r="E111" s="44" t="s">
        <v>132</v>
      </c>
      <c r="F111" s="44" t="s">
        <v>147</v>
      </c>
      <c r="G111" s="44" t="s">
        <v>148</v>
      </c>
      <c r="H111">
        <v>0.05</v>
      </c>
      <c r="I111">
        <v>0</v>
      </c>
      <c r="J111" s="44" t="s">
        <v>98</v>
      </c>
      <c r="K111">
        <v>65</v>
      </c>
    </row>
    <row r="112" spans="1:11" x14ac:dyDescent="0.3">
      <c r="A112" s="44" t="s">
        <v>98</v>
      </c>
      <c r="B112" s="44" t="s">
        <v>98</v>
      </c>
      <c r="C112" s="44" t="s">
        <v>151</v>
      </c>
      <c r="D112" s="44" t="s">
        <v>183</v>
      </c>
      <c r="E112" s="44" t="s">
        <v>132</v>
      </c>
      <c r="F112" s="44" t="s">
        <v>137</v>
      </c>
      <c r="G112" s="44" t="s">
        <v>138</v>
      </c>
      <c r="H112">
        <v>1.8</v>
      </c>
      <c r="I112">
        <v>0</v>
      </c>
      <c r="J112" s="44" t="s">
        <v>98</v>
      </c>
      <c r="K112">
        <v>4421.5</v>
      </c>
    </row>
    <row r="113" spans="1:11" x14ac:dyDescent="0.3">
      <c r="A113" s="44" t="s">
        <v>98</v>
      </c>
      <c r="B113" s="44" t="s">
        <v>98</v>
      </c>
      <c r="C113" s="44" t="s">
        <v>151</v>
      </c>
      <c r="D113" s="44" t="s">
        <v>183</v>
      </c>
      <c r="E113" s="44" t="s">
        <v>132</v>
      </c>
      <c r="F113" s="44" t="s">
        <v>139</v>
      </c>
      <c r="G113" s="44" t="s">
        <v>140</v>
      </c>
      <c r="H113">
        <v>0.03</v>
      </c>
      <c r="I113">
        <v>0</v>
      </c>
      <c r="J113" s="44" t="s">
        <v>98</v>
      </c>
      <c r="K113">
        <v>81.75</v>
      </c>
    </row>
    <row r="114" spans="1:11" x14ac:dyDescent="0.3">
      <c r="A114" s="44" t="s">
        <v>98</v>
      </c>
      <c r="B114" s="44" t="s">
        <v>98</v>
      </c>
      <c r="C114" s="44" t="s">
        <v>151</v>
      </c>
      <c r="D114" s="44" t="s">
        <v>184</v>
      </c>
      <c r="E114" s="44" t="s">
        <v>132</v>
      </c>
      <c r="F114" s="44" t="s">
        <v>139</v>
      </c>
      <c r="G114" s="44" t="s">
        <v>140</v>
      </c>
      <c r="H114">
        <v>0.04</v>
      </c>
      <c r="I114">
        <v>0</v>
      </c>
      <c r="J114" s="44" t="s">
        <v>98</v>
      </c>
      <c r="K114">
        <v>42.6</v>
      </c>
    </row>
    <row r="115" spans="1:11" x14ac:dyDescent="0.3">
      <c r="A115" s="44" t="s">
        <v>98</v>
      </c>
      <c r="B115" s="44" t="s">
        <v>98</v>
      </c>
      <c r="C115" s="44" t="s">
        <v>151</v>
      </c>
      <c r="D115" s="44" t="s">
        <v>184</v>
      </c>
      <c r="E115" s="44" t="s">
        <v>132</v>
      </c>
      <c r="F115" s="44" t="s">
        <v>141</v>
      </c>
      <c r="G115" s="44" t="s">
        <v>142</v>
      </c>
      <c r="H115">
        <v>0.2</v>
      </c>
      <c r="I115">
        <v>0</v>
      </c>
      <c r="J115" s="44" t="s">
        <v>98</v>
      </c>
      <c r="K115">
        <v>100</v>
      </c>
    </row>
    <row r="116" spans="1:11" x14ac:dyDescent="0.3">
      <c r="A116" s="44" t="s">
        <v>98</v>
      </c>
      <c r="B116" s="44" t="s">
        <v>98</v>
      </c>
      <c r="C116" s="44" t="s">
        <v>151</v>
      </c>
      <c r="D116" s="44" t="s">
        <v>185</v>
      </c>
      <c r="E116" s="44" t="s">
        <v>132</v>
      </c>
      <c r="F116" s="44" t="s">
        <v>147</v>
      </c>
      <c r="G116" s="44" t="s">
        <v>148</v>
      </c>
      <c r="H116">
        <v>0.3</v>
      </c>
      <c r="I116">
        <v>0</v>
      </c>
      <c r="J116" s="44" t="s">
        <v>98</v>
      </c>
      <c r="K116">
        <v>277</v>
      </c>
    </row>
    <row r="117" spans="1:11" x14ac:dyDescent="0.3">
      <c r="A117" s="44" t="s">
        <v>98</v>
      </c>
      <c r="B117" s="44" t="s">
        <v>98</v>
      </c>
      <c r="C117" s="44" t="s">
        <v>151</v>
      </c>
      <c r="D117" s="44" t="s">
        <v>186</v>
      </c>
      <c r="E117" s="44" t="s">
        <v>132</v>
      </c>
      <c r="F117" s="44" t="s">
        <v>137</v>
      </c>
      <c r="G117" s="44" t="s">
        <v>138</v>
      </c>
      <c r="H117">
        <v>1.72</v>
      </c>
      <c r="I117">
        <v>0</v>
      </c>
      <c r="J117" s="44" t="s">
        <v>98</v>
      </c>
      <c r="K117">
        <v>5848</v>
      </c>
    </row>
    <row r="118" spans="1:11" x14ac:dyDescent="0.3">
      <c r="A118" s="44" t="s">
        <v>98</v>
      </c>
      <c r="B118" s="44" t="s">
        <v>98</v>
      </c>
      <c r="C118" s="44" t="s">
        <v>151</v>
      </c>
      <c r="D118" s="44" t="s">
        <v>186</v>
      </c>
      <c r="E118" s="44" t="s">
        <v>132</v>
      </c>
      <c r="F118" s="44" t="s">
        <v>139</v>
      </c>
      <c r="G118" s="44" t="s">
        <v>140</v>
      </c>
      <c r="H118">
        <v>0.7</v>
      </c>
      <c r="I118">
        <v>0</v>
      </c>
      <c r="J118" s="44" t="s">
        <v>98</v>
      </c>
      <c r="K118">
        <v>745.5</v>
      </c>
    </row>
    <row r="119" spans="1:11" x14ac:dyDescent="0.3">
      <c r="A119" s="44" t="s">
        <v>98</v>
      </c>
      <c r="B119" s="44" t="s">
        <v>98</v>
      </c>
      <c r="C119" s="44" t="s">
        <v>151</v>
      </c>
      <c r="D119" s="44" t="s">
        <v>186</v>
      </c>
      <c r="E119" s="44" t="s">
        <v>132</v>
      </c>
      <c r="F119" s="44" t="s">
        <v>147</v>
      </c>
      <c r="G119" s="44" t="s">
        <v>148</v>
      </c>
      <c r="H119">
        <v>7.0000000000000007E-2</v>
      </c>
      <c r="I119">
        <v>0</v>
      </c>
      <c r="J119" s="44" t="s">
        <v>98</v>
      </c>
      <c r="K119">
        <v>63</v>
      </c>
    </row>
    <row r="120" spans="1:11" x14ac:dyDescent="0.3">
      <c r="A120" s="44" t="s">
        <v>98</v>
      </c>
      <c r="B120" s="44" t="s">
        <v>98</v>
      </c>
      <c r="C120" s="44" t="s">
        <v>151</v>
      </c>
      <c r="D120" s="44" t="s">
        <v>187</v>
      </c>
      <c r="E120" s="44" t="s">
        <v>132</v>
      </c>
      <c r="F120" s="44" t="s">
        <v>133</v>
      </c>
      <c r="G120" s="44" t="s">
        <v>134</v>
      </c>
      <c r="H120">
        <v>0.04</v>
      </c>
      <c r="I120">
        <v>0</v>
      </c>
      <c r="J120" s="44" t="s">
        <v>98</v>
      </c>
      <c r="K120">
        <v>20</v>
      </c>
    </row>
    <row r="121" spans="1:11" x14ac:dyDescent="0.3">
      <c r="A121" s="44" t="s">
        <v>98</v>
      </c>
      <c r="B121" s="44" t="s">
        <v>98</v>
      </c>
      <c r="C121" s="44" t="s">
        <v>151</v>
      </c>
      <c r="D121" s="44" t="s">
        <v>187</v>
      </c>
      <c r="E121" s="44" t="s">
        <v>132</v>
      </c>
      <c r="F121" s="44" t="s">
        <v>137</v>
      </c>
      <c r="G121" s="44" t="s">
        <v>138</v>
      </c>
      <c r="H121">
        <v>0.4</v>
      </c>
      <c r="I121">
        <v>0</v>
      </c>
      <c r="J121" s="44" t="s">
        <v>98</v>
      </c>
      <c r="K121">
        <v>1360</v>
      </c>
    </row>
    <row r="122" spans="1:11" x14ac:dyDescent="0.3">
      <c r="A122" s="44" t="s">
        <v>98</v>
      </c>
      <c r="B122" s="44" t="s">
        <v>98</v>
      </c>
      <c r="C122" s="44" t="s">
        <v>151</v>
      </c>
      <c r="D122" s="44" t="s">
        <v>187</v>
      </c>
      <c r="E122" s="44" t="s">
        <v>132</v>
      </c>
      <c r="F122" s="44" t="s">
        <v>139</v>
      </c>
      <c r="G122" s="44" t="s">
        <v>140</v>
      </c>
      <c r="H122">
        <v>0.09</v>
      </c>
      <c r="I122">
        <v>0</v>
      </c>
      <c r="J122" s="44" t="s">
        <v>98</v>
      </c>
      <c r="K122">
        <v>162.25</v>
      </c>
    </row>
    <row r="123" spans="1:11" x14ac:dyDescent="0.3">
      <c r="A123" s="44" t="s">
        <v>98</v>
      </c>
      <c r="B123" s="44" t="s">
        <v>98</v>
      </c>
      <c r="C123" s="44" t="s">
        <v>151</v>
      </c>
      <c r="D123" s="44" t="s">
        <v>187</v>
      </c>
      <c r="E123" s="44" t="s">
        <v>132</v>
      </c>
      <c r="F123" s="44" t="s">
        <v>147</v>
      </c>
      <c r="G123" s="44" t="s">
        <v>148</v>
      </c>
      <c r="H123">
        <v>0.33</v>
      </c>
      <c r="I123">
        <v>0</v>
      </c>
      <c r="J123" s="44" t="s">
        <v>98</v>
      </c>
      <c r="K123">
        <v>330</v>
      </c>
    </row>
    <row r="124" spans="1:11" x14ac:dyDescent="0.3">
      <c r="A124" s="44" t="s">
        <v>98</v>
      </c>
      <c r="B124" s="44" t="s">
        <v>98</v>
      </c>
      <c r="C124" s="44" t="s">
        <v>151</v>
      </c>
      <c r="D124" s="44" t="s">
        <v>188</v>
      </c>
      <c r="E124" s="44" t="s">
        <v>132</v>
      </c>
      <c r="F124" s="44" t="s">
        <v>133</v>
      </c>
      <c r="G124" s="44" t="s">
        <v>134</v>
      </c>
      <c r="H124">
        <v>0.17</v>
      </c>
      <c r="I124">
        <v>0</v>
      </c>
      <c r="J124" s="44" t="s">
        <v>98</v>
      </c>
      <c r="K124">
        <v>85</v>
      </c>
    </row>
    <row r="125" spans="1:11" x14ac:dyDescent="0.3">
      <c r="A125" s="44" t="s">
        <v>98</v>
      </c>
      <c r="B125" s="44" t="s">
        <v>98</v>
      </c>
      <c r="C125" s="44" t="s">
        <v>151</v>
      </c>
      <c r="D125" s="44" t="s">
        <v>188</v>
      </c>
      <c r="E125" s="44" t="s">
        <v>132</v>
      </c>
      <c r="F125" s="44" t="s">
        <v>135</v>
      </c>
      <c r="G125" s="44" t="s">
        <v>159</v>
      </c>
      <c r="H125">
        <v>0.05</v>
      </c>
      <c r="I125">
        <v>0</v>
      </c>
      <c r="J125" s="44" t="s">
        <v>98</v>
      </c>
      <c r="K125">
        <v>45.5</v>
      </c>
    </row>
    <row r="126" spans="1:11" x14ac:dyDescent="0.3">
      <c r="A126" s="44" t="s">
        <v>98</v>
      </c>
      <c r="B126" s="44" t="s">
        <v>98</v>
      </c>
      <c r="C126" s="44" t="s">
        <v>151</v>
      </c>
      <c r="D126" s="44" t="s">
        <v>188</v>
      </c>
      <c r="E126" s="44" t="s">
        <v>132</v>
      </c>
      <c r="F126" s="44" t="s">
        <v>137</v>
      </c>
      <c r="G126" s="44" t="s">
        <v>138</v>
      </c>
      <c r="H126">
        <v>0.15</v>
      </c>
      <c r="I126">
        <v>0</v>
      </c>
      <c r="J126" s="44" t="s">
        <v>98</v>
      </c>
      <c r="K126">
        <v>424</v>
      </c>
    </row>
    <row r="127" spans="1:11" x14ac:dyDescent="0.3">
      <c r="A127" s="44" t="s">
        <v>98</v>
      </c>
      <c r="B127" s="44" t="s">
        <v>98</v>
      </c>
      <c r="C127" s="44" t="s">
        <v>151</v>
      </c>
      <c r="D127" s="44" t="s">
        <v>188</v>
      </c>
      <c r="E127" s="44" t="s">
        <v>132</v>
      </c>
      <c r="F127" s="44" t="s">
        <v>139</v>
      </c>
      <c r="G127" s="44" t="s">
        <v>140</v>
      </c>
      <c r="H127">
        <v>0.02</v>
      </c>
      <c r="I127">
        <v>0</v>
      </c>
      <c r="J127" s="44" t="s">
        <v>98</v>
      </c>
      <c r="K127">
        <v>21.3</v>
      </c>
    </row>
    <row r="128" spans="1:11" x14ac:dyDescent="0.3">
      <c r="A128" s="44" t="s">
        <v>98</v>
      </c>
      <c r="B128" s="44" t="s">
        <v>98</v>
      </c>
      <c r="C128" s="44" t="s">
        <v>151</v>
      </c>
      <c r="D128" s="44" t="s">
        <v>188</v>
      </c>
      <c r="E128" s="44" t="s">
        <v>132</v>
      </c>
      <c r="F128" s="44" t="s">
        <v>147</v>
      </c>
      <c r="G128" s="44" t="s">
        <v>148</v>
      </c>
      <c r="H128">
        <v>7.0000000000000007E-2</v>
      </c>
      <c r="I128">
        <v>0</v>
      </c>
      <c r="J128" s="44" t="s">
        <v>98</v>
      </c>
      <c r="K128">
        <v>63</v>
      </c>
    </row>
    <row r="129" spans="1:13" x14ac:dyDescent="0.3">
      <c r="A129" s="44" t="s">
        <v>98</v>
      </c>
      <c r="B129" s="44" t="s">
        <v>98</v>
      </c>
      <c r="C129" s="44" t="s">
        <v>151</v>
      </c>
      <c r="D129" s="44" t="s">
        <v>189</v>
      </c>
      <c r="E129" s="44" t="s">
        <v>132</v>
      </c>
      <c r="F129" s="44" t="s">
        <v>139</v>
      </c>
      <c r="G129" s="44" t="s">
        <v>140</v>
      </c>
      <c r="H129">
        <v>0.26</v>
      </c>
      <c r="I129">
        <v>0</v>
      </c>
      <c r="J129" s="44" t="s">
        <v>98</v>
      </c>
      <c r="K129">
        <v>343.3</v>
      </c>
    </row>
    <row r="130" spans="1:13" x14ac:dyDescent="0.3">
      <c r="A130" s="44" t="s">
        <v>98</v>
      </c>
      <c r="B130" s="44" t="s">
        <v>98</v>
      </c>
      <c r="C130" s="44" t="s">
        <v>151</v>
      </c>
      <c r="D130" s="44" t="s">
        <v>189</v>
      </c>
      <c r="E130" s="44" t="s">
        <v>132</v>
      </c>
      <c r="F130" s="44" t="s">
        <v>143</v>
      </c>
      <c r="G130" s="44" t="s">
        <v>144</v>
      </c>
      <c r="H130">
        <v>0.14000000000000001</v>
      </c>
      <c r="I130">
        <v>0</v>
      </c>
      <c r="J130" s="44" t="s">
        <v>98</v>
      </c>
      <c r="K130">
        <v>56</v>
      </c>
    </row>
    <row r="131" spans="1:13" x14ac:dyDescent="0.3">
      <c r="A131" s="44" t="s">
        <v>98</v>
      </c>
      <c r="B131" s="44" t="s">
        <v>98</v>
      </c>
      <c r="C131" s="44" t="s">
        <v>151</v>
      </c>
      <c r="D131" s="44" t="s">
        <v>190</v>
      </c>
      <c r="E131" s="44" t="s">
        <v>132</v>
      </c>
      <c r="F131" s="44" t="s">
        <v>137</v>
      </c>
      <c r="G131" s="44" t="s">
        <v>138</v>
      </c>
      <c r="H131">
        <v>1.1399999999999999</v>
      </c>
      <c r="I131">
        <v>0</v>
      </c>
      <c r="J131" s="44" t="s">
        <v>98</v>
      </c>
      <c r="K131">
        <v>3413.75</v>
      </c>
    </row>
    <row r="132" spans="1:13" x14ac:dyDescent="0.3">
      <c r="A132" s="44" t="s">
        <v>98</v>
      </c>
      <c r="B132" s="44" t="s">
        <v>98</v>
      </c>
      <c r="C132" s="44" t="s">
        <v>151</v>
      </c>
      <c r="D132" s="44" t="s">
        <v>190</v>
      </c>
      <c r="E132" s="44" t="s">
        <v>132</v>
      </c>
      <c r="F132" s="44" t="s">
        <v>139</v>
      </c>
      <c r="G132" s="44" t="s">
        <v>140</v>
      </c>
      <c r="H132">
        <v>3.78</v>
      </c>
      <c r="I132">
        <v>0</v>
      </c>
      <c r="J132" s="44" t="s">
        <v>98</v>
      </c>
      <c r="K132">
        <v>4673.1000000000004</v>
      </c>
    </row>
    <row r="133" spans="1:13" x14ac:dyDescent="0.3">
      <c r="A133" s="44" t="s">
        <v>98</v>
      </c>
      <c r="B133" s="44" t="s">
        <v>98</v>
      </c>
      <c r="C133" s="44" t="s">
        <v>151</v>
      </c>
      <c r="D133" s="44" t="s">
        <v>190</v>
      </c>
      <c r="E133" s="44" t="s">
        <v>132</v>
      </c>
      <c r="F133" s="44" t="s">
        <v>147</v>
      </c>
      <c r="G133" s="44" t="s">
        <v>148</v>
      </c>
      <c r="H133">
        <v>0.44</v>
      </c>
      <c r="I133">
        <v>0</v>
      </c>
      <c r="J133" s="44" t="s">
        <v>98</v>
      </c>
      <c r="K133">
        <v>524</v>
      </c>
    </row>
    <row r="134" spans="1:13" x14ac:dyDescent="0.3">
      <c r="A134" s="44" t="s">
        <v>98</v>
      </c>
      <c r="B134" s="44" t="s">
        <v>98</v>
      </c>
      <c r="C134" s="44" t="s">
        <v>151</v>
      </c>
      <c r="D134" s="44" t="s">
        <v>191</v>
      </c>
      <c r="E134" s="44" t="s">
        <v>132</v>
      </c>
      <c r="F134" s="44" t="s">
        <v>137</v>
      </c>
      <c r="G134" s="44" t="s">
        <v>138</v>
      </c>
      <c r="H134">
        <v>3.78</v>
      </c>
      <c r="I134">
        <v>0</v>
      </c>
      <c r="J134" s="44" t="s">
        <v>98</v>
      </c>
      <c r="K134">
        <v>9971</v>
      </c>
    </row>
    <row r="135" spans="1:13" x14ac:dyDescent="0.3">
      <c r="A135" s="44" t="s">
        <v>98</v>
      </c>
      <c r="B135" s="44" t="s">
        <v>98</v>
      </c>
      <c r="C135" s="44" t="s">
        <v>151</v>
      </c>
      <c r="D135" s="44" t="s">
        <v>191</v>
      </c>
      <c r="E135" s="44" t="s">
        <v>132</v>
      </c>
      <c r="F135" s="44" t="s">
        <v>139</v>
      </c>
      <c r="G135" s="44" t="s">
        <v>140</v>
      </c>
      <c r="H135">
        <v>2.62</v>
      </c>
      <c r="I135">
        <v>0</v>
      </c>
      <c r="J135" s="44" t="s">
        <v>98</v>
      </c>
      <c r="K135">
        <v>3736.5</v>
      </c>
    </row>
    <row r="136" spans="1:13" x14ac:dyDescent="0.3">
      <c r="A136" s="44" t="s">
        <v>98</v>
      </c>
      <c r="B136" s="44" t="s">
        <v>98</v>
      </c>
      <c r="C136" s="44" t="s">
        <v>151</v>
      </c>
      <c r="D136" s="44" t="s">
        <v>191</v>
      </c>
      <c r="E136" s="44" t="s">
        <v>132</v>
      </c>
      <c r="F136" s="44" t="s">
        <v>141</v>
      </c>
      <c r="G136" s="44" t="s">
        <v>142</v>
      </c>
      <c r="H136">
        <v>0.14000000000000001</v>
      </c>
      <c r="I136">
        <v>0</v>
      </c>
      <c r="J136" s="44" t="s">
        <v>98</v>
      </c>
      <c r="K136">
        <v>70</v>
      </c>
    </row>
    <row r="137" spans="1:13" x14ac:dyDescent="0.3">
      <c r="A137" s="44" t="s">
        <v>98</v>
      </c>
      <c r="B137" s="44" t="s">
        <v>98</v>
      </c>
      <c r="C137" s="44" t="s">
        <v>151</v>
      </c>
      <c r="D137" s="44" t="s">
        <v>191</v>
      </c>
      <c r="E137" s="44" t="s">
        <v>132</v>
      </c>
      <c r="F137" s="44" t="s">
        <v>143</v>
      </c>
      <c r="G137" s="44" t="s">
        <v>144</v>
      </c>
      <c r="H137">
        <v>7.0000000000000007E-2</v>
      </c>
      <c r="I137">
        <v>0</v>
      </c>
      <c r="J137" s="44" t="s">
        <v>98</v>
      </c>
      <c r="K137">
        <v>28</v>
      </c>
    </row>
    <row r="138" spans="1:13" x14ac:dyDescent="0.3">
      <c r="A138" s="44" t="s">
        <v>98</v>
      </c>
      <c r="B138" s="44" t="s">
        <v>98</v>
      </c>
      <c r="C138" s="44" t="s">
        <v>151</v>
      </c>
      <c r="D138" s="44" t="s">
        <v>191</v>
      </c>
      <c r="E138" s="44" t="s">
        <v>132</v>
      </c>
      <c r="F138" s="44" t="s">
        <v>147</v>
      </c>
      <c r="G138" s="44" t="s">
        <v>148</v>
      </c>
      <c r="H138">
        <v>0.12</v>
      </c>
      <c r="I138">
        <v>0</v>
      </c>
      <c r="J138" s="44" t="s">
        <v>98</v>
      </c>
      <c r="K138">
        <v>120</v>
      </c>
    </row>
    <row r="139" spans="1:13" x14ac:dyDescent="0.3">
      <c r="A139" s="44" t="s">
        <v>98</v>
      </c>
      <c r="B139" s="44" t="s">
        <v>98</v>
      </c>
      <c r="C139" s="44" t="s">
        <v>151</v>
      </c>
      <c r="D139" s="44" t="s">
        <v>192</v>
      </c>
      <c r="E139" s="44" t="s">
        <v>132</v>
      </c>
      <c r="F139" s="44" t="s">
        <v>137</v>
      </c>
      <c r="G139" s="44" t="s">
        <v>138</v>
      </c>
      <c r="H139">
        <v>0.41</v>
      </c>
      <c r="I139">
        <v>0</v>
      </c>
      <c r="J139" s="44" t="s">
        <v>98</v>
      </c>
      <c r="K139">
        <v>953.25</v>
      </c>
    </row>
    <row r="140" spans="1:13" x14ac:dyDescent="0.3">
      <c r="A140" s="44" t="s">
        <v>98</v>
      </c>
      <c r="B140" s="44" t="s">
        <v>98</v>
      </c>
      <c r="C140" s="44" t="s">
        <v>151</v>
      </c>
      <c r="D140" s="44" t="s">
        <v>192</v>
      </c>
      <c r="E140" s="44" t="s">
        <v>132</v>
      </c>
      <c r="F140" s="44" t="s">
        <v>139</v>
      </c>
      <c r="G140" s="44" t="s">
        <v>140</v>
      </c>
      <c r="H140">
        <v>3.09</v>
      </c>
      <c r="I140">
        <v>0</v>
      </c>
      <c r="J140" s="44" t="s">
        <v>98</v>
      </c>
      <c r="K140">
        <v>8005.25</v>
      </c>
    </row>
    <row r="141" spans="1:13" ht="15" thickBot="1" x14ac:dyDescent="0.35">
      <c r="A141" s="44" t="s">
        <v>98</v>
      </c>
      <c r="B141" s="44" t="s">
        <v>98</v>
      </c>
      <c r="C141" s="44" t="s">
        <v>151</v>
      </c>
      <c r="D141" s="44" t="s">
        <v>192</v>
      </c>
      <c r="E141" s="44" t="s">
        <v>132</v>
      </c>
      <c r="F141" s="44" t="s">
        <v>147</v>
      </c>
      <c r="G141" s="44" t="s">
        <v>148</v>
      </c>
      <c r="H141">
        <v>0.04</v>
      </c>
      <c r="I141">
        <v>0</v>
      </c>
      <c r="J141" s="44" t="s">
        <v>98</v>
      </c>
      <c r="K141">
        <v>52</v>
      </c>
    </row>
    <row r="142" spans="1:13" ht="15" thickBot="1" x14ac:dyDescent="0.35">
      <c r="A142" s="50"/>
      <c r="B142" s="51"/>
      <c r="C142" s="51"/>
      <c r="D142" s="47" t="s">
        <v>193</v>
      </c>
      <c r="E142" s="46"/>
      <c r="F142" s="46"/>
      <c r="G142" s="46"/>
      <c r="H142" s="46">
        <f>SUM(H29:H141)</f>
        <v>80.13000000000001</v>
      </c>
      <c r="I142" s="46"/>
      <c r="J142" s="46"/>
      <c r="K142" s="48">
        <f>SUM(K29:K141)</f>
        <v>167653.30000000002</v>
      </c>
      <c r="M142" s="43" t="s">
        <v>149</v>
      </c>
    </row>
    <row r="145" spans="1:11" x14ac:dyDescent="0.3">
      <c r="A145" s="43" t="s">
        <v>194</v>
      </c>
      <c r="B145" s="43"/>
      <c r="C145" s="43"/>
      <c r="D145" s="43"/>
    </row>
    <row r="146" spans="1:11" x14ac:dyDescent="0.3">
      <c r="A146" s="44" t="s">
        <v>98</v>
      </c>
      <c r="B146" s="44" t="s">
        <v>98</v>
      </c>
      <c r="C146" s="44" t="s">
        <v>151</v>
      </c>
      <c r="D146" s="44" t="s">
        <v>195</v>
      </c>
      <c r="E146" s="44" t="s">
        <v>132</v>
      </c>
      <c r="F146" s="44" t="s">
        <v>139</v>
      </c>
      <c r="G146" s="44" t="s">
        <v>140</v>
      </c>
      <c r="H146">
        <v>0.09</v>
      </c>
      <c r="I146">
        <v>0</v>
      </c>
      <c r="J146" s="44" t="s">
        <v>98</v>
      </c>
      <c r="K146">
        <v>245.25</v>
      </c>
    </row>
    <row r="147" spans="1:11" x14ac:dyDescent="0.3">
      <c r="A147" s="44" t="s">
        <v>98</v>
      </c>
      <c r="B147" s="44" t="s">
        <v>98</v>
      </c>
      <c r="C147" s="44" t="s">
        <v>151</v>
      </c>
      <c r="D147" s="44" t="s">
        <v>195</v>
      </c>
      <c r="E147" s="44" t="s">
        <v>132</v>
      </c>
      <c r="F147" s="44" t="s">
        <v>147</v>
      </c>
      <c r="G147" s="44" t="s">
        <v>148</v>
      </c>
      <c r="H147">
        <v>0.05</v>
      </c>
      <c r="I147">
        <v>0</v>
      </c>
      <c r="J147" s="44" t="s">
        <v>98</v>
      </c>
      <c r="K147">
        <v>45</v>
      </c>
    </row>
    <row r="148" spans="1:11" x14ac:dyDescent="0.3">
      <c r="A148" s="44" t="s">
        <v>98</v>
      </c>
      <c r="B148" s="44" t="s">
        <v>98</v>
      </c>
      <c r="C148" s="44" t="s">
        <v>151</v>
      </c>
      <c r="D148" s="44" t="s">
        <v>196</v>
      </c>
      <c r="E148" s="44" t="s">
        <v>132</v>
      </c>
      <c r="F148" s="44" t="s">
        <v>139</v>
      </c>
      <c r="G148" s="44" t="s">
        <v>140</v>
      </c>
      <c r="H148">
        <v>0.47</v>
      </c>
      <c r="I148">
        <v>0</v>
      </c>
      <c r="J148" s="44" t="s">
        <v>98</v>
      </c>
      <c r="K148">
        <v>699.75</v>
      </c>
    </row>
    <row r="149" spans="1:11" x14ac:dyDescent="0.3">
      <c r="A149" s="44" t="s">
        <v>98</v>
      </c>
      <c r="B149" s="44" t="s">
        <v>98</v>
      </c>
      <c r="C149" s="44" t="s">
        <v>151</v>
      </c>
      <c r="D149" s="44" t="s">
        <v>196</v>
      </c>
      <c r="E149" s="44" t="s">
        <v>132</v>
      </c>
      <c r="F149" s="44" t="s">
        <v>141</v>
      </c>
      <c r="G149" s="44" t="s">
        <v>142</v>
      </c>
      <c r="H149">
        <v>1.06</v>
      </c>
      <c r="I149">
        <v>0</v>
      </c>
      <c r="J149" s="44" t="s">
        <v>98</v>
      </c>
      <c r="K149">
        <v>530</v>
      </c>
    </row>
    <row r="150" spans="1:11" x14ac:dyDescent="0.3">
      <c r="A150" s="44" t="s">
        <v>98</v>
      </c>
      <c r="B150" s="44" t="s">
        <v>98</v>
      </c>
      <c r="C150" s="44" t="s">
        <v>151</v>
      </c>
      <c r="D150" s="44" t="s">
        <v>197</v>
      </c>
      <c r="E150" s="44" t="s">
        <v>132</v>
      </c>
      <c r="F150" s="44" t="s">
        <v>137</v>
      </c>
      <c r="G150" s="44" t="s">
        <v>138</v>
      </c>
      <c r="H150">
        <v>4.74</v>
      </c>
      <c r="I150">
        <v>0</v>
      </c>
      <c r="J150" s="44" t="s">
        <v>98</v>
      </c>
      <c r="K150">
        <v>16116</v>
      </c>
    </row>
    <row r="151" spans="1:11" x14ac:dyDescent="0.3">
      <c r="A151" s="44" t="s">
        <v>98</v>
      </c>
      <c r="B151" s="44" t="s">
        <v>98</v>
      </c>
      <c r="C151" s="44" t="s">
        <v>151</v>
      </c>
      <c r="D151" s="44" t="s">
        <v>197</v>
      </c>
      <c r="E151" s="44" t="s">
        <v>132</v>
      </c>
      <c r="F151" s="44" t="s">
        <v>139</v>
      </c>
      <c r="G151" s="44" t="s">
        <v>140</v>
      </c>
      <c r="H151">
        <v>0.19</v>
      </c>
      <c r="I151">
        <v>0</v>
      </c>
      <c r="J151" s="44" t="s">
        <v>98</v>
      </c>
      <c r="K151">
        <v>384.95</v>
      </c>
    </row>
    <row r="152" spans="1:11" x14ac:dyDescent="0.3">
      <c r="A152" s="44" t="s">
        <v>98</v>
      </c>
      <c r="B152" s="44" t="s">
        <v>98</v>
      </c>
      <c r="C152" s="44" t="s">
        <v>151</v>
      </c>
      <c r="D152" s="44" t="s">
        <v>197</v>
      </c>
      <c r="E152" s="44" t="s">
        <v>132</v>
      </c>
      <c r="F152" s="44" t="s">
        <v>147</v>
      </c>
      <c r="G152" s="44" t="s">
        <v>148</v>
      </c>
      <c r="H152">
        <v>0.08</v>
      </c>
      <c r="I152">
        <v>0</v>
      </c>
      <c r="J152" s="44" t="s">
        <v>98</v>
      </c>
      <c r="K152">
        <v>104</v>
      </c>
    </row>
    <row r="153" spans="1:11" x14ac:dyDescent="0.3">
      <c r="A153" s="44" t="s">
        <v>98</v>
      </c>
      <c r="B153" s="44" t="s">
        <v>98</v>
      </c>
      <c r="C153" s="44" t="s">
        <v>151</v>
      </c>
      <c r="D153" s="44" t="s">
        <v>198</v>
      </c>
      <c r="E153" s="44" t="s">
        <v>132</v>
      </c>
      <c r="F153" s="44" t="s">
        <v>137</v>
      </c>
      <c r="G153" s="44" t="s">
        <v>138</v>
      </c>
      <c r="H153">
        <v>0.68</v>
      </c>
      <c r="I153">
        <v>0</v>
      </c>
      <c r="J153" s="44" t="s">
        <v>98</v>
      </c>
      <c r="K153">
        <v>1581</v>
      </c>
    </row>
    <row r="154" spans="1:11" x14ac:dyDescent="0.3">
      <c r="A154" s="44" t="s">
        <v>98</v>
      </c>
      <c r="B154" s="44" t="s">
        <v>98</v>
      </c>
      <c r="C154" s="44" t="s">
        <v>151</v>
      </c>
      <c r="D154" s="44" t="s">
        <v>198</v>
      </c>
      <c r="E154" s="44" t="s">
        <v>132</v>
      </c>
      <c r="F154" s="44" t="s">
        <v>139</v>
      </c>
      <c r="G154" s="44" t="s">
        <v>140</v>
      </c>
      <c r="H154">
        <v>0.62</v>
      </c>
      <c r="I154">
        <v>0</v>
      </c>
      <c r="J154" s="44" t="s">
        <v>98</v>
      </c>
      <c r="K154">
        <v>1689.5</v>
      </c>
    </row>
    <row r="155" spans="1:11" x14ac:dyDescent="0.3">
      <c r="A155" s="44" t="s">
        <v>98</v>
      </c>
      <c r="B155" s="44" t="s">
        <v>98</v>
      </c>
      <c r="C155" s="44" t="s">
        <v>151</v>
      </c>
      <c r="D155" s="44" t="s">
        <v>198</v>
      </c>
      <c r="E155" s="44" t="s">
        <v>132</v>
      </c>
      <c r="F155" s="44" t="s">
        <v>141</v>
      </c>
      <c r="G155" s="44" t="s">
        <v>142</v>
      </c>
      <c r="H155">
        <v>0.19</v>
      </c>
      <c r="I155">
        <v>0</v>
      </c>
      <c r="J155" s="44" t="s">
        <v>98</v>
      </c>
      <c r="K155">
        <v>95</v>
      </c>
    </row>
    <row r="156" spans="1:11" x14ac:dyDescent="0.3">
      <c r="A156" s="44" t="s">
        <v>98</v>
      </c>
      <c r="B156" s="44" t="s">
        <v>98</v>
      </c>
      <c r="C156" s="44" t="s">
        <v>151</v>
      </c>
      <c r="D156" s="44" t="s">
        <v>199</v>
      </c>
      <c r="E156" s="44" t="s">
        <v>132</v>
      </c>
      <c r="F156" s="44" t="s">
        <v>147</v>
      </c>
      <c r="G156" s="44" t="s">
        <v>148</v>
      </c>
      <c r="H156">
        <v>0.08</v>
      </c>
      <c r="I156">
        <v>0</v>
      </c>
      <c r="J156" s="44" t="s">
        <v>98</v>
      </c>
      <c r="K156">
        <v>72</v>
      </c>
    </row>
    <row r="157" spans="1:11" x14ac:dyDescent="0.3">
      <c r="A157" s="44" t="s">
        <v>98</v>
      </c>
      <c r="B157" s="44" t="s">
        <v>98</v>
      </c>
      <c r="C157" s="44" t="s">
        <v>151</v>
      </c>
      <c r="D157" s="44" t="s">
        <v>200</v>
      </c>
      <c r="E157" s="44" t="s">
        <v>132</v>
      </c>
      <c r="F157" s="44" t="s">
        <v>157</v>
      </c>
      <c r="G157" s="44" t="s">
        <v>158</v>
      </c>
      <c r="H157">
        <v>0.02</v>
      </c>
      <c r="I157">
        <v>0</v>
      </c>
      <c r="J157" s="44" t="s">
        <v>98</v>
      </c>
      <c r="K157">
        <v>37.9</v>
      </c>
    </row>
    <row r="158" spans="1:11" x14ac:dyDescent="0.3">
      <c r="A158" s="44" t="s">
        <v>98</v>
      </c>
      <c r="B158" s="44" t="s">
        <v>98</v>
      </c>
      <c r="C158" s="44" t="s">
        <v>151</v>
      </c>
      <c r="D158" s="44" t="s">
        <v>200</v>
      </c>
      <c r="E158" s="44" t="s">
        <v>132</v>
      </c>
      <c r="F158" s="44" t="s">
        <v>135</v>
      </c>
      <c r="G158" s="44" t="s">
        <v>136</v>
      </c>
      <c r="H158">
        <v>0.06</v>
      </c>
      <c r="I158">
        <v>0</v>
      </c>
      <c r="J158" s="44" t="s">
        <v>98</v>
      </c>
      <c r="K158">
        <v>54.6</v>
      </c>
    </row>
    <row r="159" spans="1:11" x14ac:dyDescent="0.3">
      <c r="A159" s="44" t="s">
        <v>98</v>
      </c>
      <c r="B159" s="44" t="s">
        <v>98</v>
      </c>
      <c r="C159" s="44" t="s">
        <v>151</v>
      </c>
      <c r="D159" s="44" t="s">
        <v>200</v>
      </c>
      <c r="E159" s="44" t="s">
        <v>132</v>
      </c>
      <c r="F159" s="44" t="s">
        <v>139</v>
      </c>
      <c r="G159" s="44" t="s">
        <v>140</v>
      </c>
      <c r="H159">
        <v>0.11</v>
      </c>
      <c r="I159">
        <v>0</v>
      </c>
      <c r="J159" s="44" t="s">
        <v>98</v>
      </c>
      <c r="K159">
        <v>299.75</v>
      </c>
    </row>
    <row r="160" spans="1:11" x14ac:dyDescent="0.3">
      <c r="A160" s="44" t="s">
        <v>98</v>
      </c>
      <c r="B160" s="44" t="s">
        <v>98</v>
      </c>
      <c r="C160" s="44" t="s">
        <v>151</v>
      </c>
      <c r="D160" s="44" t="s">
        <v>200</v>
      </c>
      <c r="E160" s="44" t="s">
        <v>132</v>
      </c>
      <c r="F160" s="44" t="s">
        <v>141</v>
      </c>
      <c r="G160" s="44" t="s">
        <v>142</v>
      </c>
      <c r="H160">
        <v>0.9</v>
      </c>
      <c r="I160">
        <v>0</v>
      </c>
      <c r="J160" s="44" t="s">
        <v>98</v>
      </c>
      <c r="K160">
        <v>450</v>
      </c>
    </row>
    <row r="161" spans="1:11" x14ac:dyDescent="0.3">
      <c r="A161" s="44" t="s">
        <v>98</v>
      </c>
      <c r="B161" s="44" t="s">
        <v>98</v>
      </c>
      <c r="C161" s="44" t="s">
        <v>151</v>
      </c>
      <c r="D161" s="44" t="s">
        <v>200</v>
      </c>
      <c r="E161" s="44" t="s">
        <v>132</v>
      </c>
      <c r="F161" s="44" t="s">
        <v>147</v>
      </c>
      <c r="G161" s="44" t="s">
        <v>148</v>
      </c>
      <c r="H161">
        <v>0.06</v>
      </c>
      <c r="I161">
        <v>0</v>
      </c>
      <c r="J161" s="44" t="s">
        <v>98</v>
      </c>
      <c r="K161">
        <v>78</v>
      </c>
    </row>
    <row r="162" spans="1:11" x14ac:dyDescent="0.3">
      <c r="A162" s="44" t="s">
        <v>98</v>
      </c>
      <c r="B162" s="44" t="s">
        <v>98</v>
      </c>
      <c r="C162" s="44" t="s">
        <v>151</v>
      </c>
      <c r="D162" s="44" t="s">
        <v>201</v>
      </c>
      <c r="E162" s="44" t="s">
        <v>132</v>
      </c>
      <c r="F162" s="44" t="s">
        <v>137</v>
      </c>
      <c r="G162" s="44" t="s">
        <v>138</v>
      </c>
      <c r="H162">
        <v>0.56999999999999995</v>
      </c>
      <c r="I162">
        <v>0</v>
      </c>
      <c r="J162" s="44" t="s">
        <v>98</v>
      </c>
      <c r="K162">
        <v>1938</v>
      </c>
    </row>
    <row r="163" spans="1:11" x14ac:dyDescent="0.3">
      <c r="A163" s="44" t="s">
        <v>98</v>
      </c>
      <c r="B163" s="44" t="s">
        <v>98</v>
      </c>
      <c r="C163" s="44" t="s">
        <v>151</v>
      </c>
      <c r="D163" s="44" t="s">
        <v>201</v>
      </c>
      <c r="E163" s="44" t="s">
        <v>132</v>
      </c>
      <c r="F163" s="44" t="s">
        <v>139</v>
      </c>
      <c r="G163" s="44" t="s">
        <v>140</v>
      </c>
      <c r="H163">
        <v>0.13</v>
      </c>
      <c r="I163">
        <v>0</v>
      </c>
      <c r="J163" s="44" t="s">
        <v>98</v>
      </c>
      <c r="K163">
        <v>138.44999999999999</v>
      </c>
    </row>
    <row r="164" spans="1:11" x14ac:dyDescent="0.3">
      <c r="A164" s="44" t="s">
        <v>98</v>
      </c>
      <c r="B164" s="44" t="s">
        <v>98</v>
      </c>
      <c r="C164" s="44" t="s">
        <v>151</v>
      </c>
      <c r="D164" s="44" t="s">
        <v>201</v>
      </c>
      <c r="E164" s="44" t="s">
        <v>132</v>
      </c>
      <c r="F164" s="44" t="s">
        <v>141</v>
      </c>
      <c r="G164" s="44" t="s">
        <v>142</v>
      </c>
      <c r="H164">
        <v>0.13</v>
      </c>
      <c r="I164">
        <v>0</v>
      </c>
      <c r="J164" s="44" t="s">
        <v>98</v>
      </c>
      <c r="K164">
        <v>65</v>
      </c>
    </row>
    <row r="165" spans="1:11" x14ac:dyDescent="0.3">
      <c r="A165" s="44" t="s">
        <v>98</v>
      </c>
      <c r="B165" s="44" t="s">
        <v>98</v>
      </c>
      <c r="C165" s="44" t="s">
        <v>151</v>
      </c>
      <c r="D165" s="44" t="s">
        <v>202</v>
      </c>
      <c r="E165" s="44" t="s">
        <v>132</v>
      </c>
      <c r="F165" s="44" t="s">
        <v>139</v>
      </c>
      <c r="G165" s="44" t="s">
        <v>140</v>
      </c>
      <c r="H165">
        <v>1.83</v>
      </c>
      <c r="I165">
        <v>0</v>
      </c>
      <c r="J165" s="44" t="s">
        <v>98</v>
      </c>
      <c r="K165">
        <v>1948.95</v>
      </c>
    </row>
    <row r="166" spans="1:11" x14ac:dyDescent="0.3">
      <c r="A166" s="44" t="s">
        <v>98</v>
      </c>
      <c r="B166" s="44" t="s">
        <v>98</v>
      </c>
      <c r="C166" s="44" t="s">
        <v>151</v>
      </c>
      <c r="D166" s="44" t="s">
        <v>203</v>
      </c>
      <c r="E166" s="44" t="s">
        <v>132</v>
      </c>
      <c r="F166" s="44" t="s">
        <v>137</v>
      </c>
      <c r="G166" s="44" t="s">
        <v>138</v>
      </c>
      <c r="H166">
        <v>0.64</v>
      </c>
      <c r="I166">
        <v>0</v>
      </c>
      <c r="J166" s="44" t="s">
        <v>98</v>
      </c>
      <c r="K166">
        <v>2176</v>
      </c>
    </row>
    <row r="167" spans="1:11" x14ac:dyDescent="0.3">
      <c r="A167" s="44" t="s">
        <v>98</v>
      </c>
      <c r="B167" s="44" t="s">
        <v>98</v>
      </c>
      <c r="C167" s="44" t="s">
        <v>151</v>
      </c>
      <c r="D167" s="44" t="s">
        <v>203</v>
      </c>
      <c r="E167" s="44" t="s">
        <v>132</v>
      </c>
      <c r="F167" s="44" t="s">
        <v>139</v>
      </c>
      <c r="G167" s="44" t="s">
        <v>140</v>
      </c>
      <c r="H167">
        <v>0.65</v>
      </c>
      <c r="I167">
        <v>0</v>
      </c>
      <c r="J167" s="44" t="s">
        <v>98</v>
      </c>
      <c r="K167">
        <v>1771.25</v>
      </c>
    </row>
    <row r="168" spans="1:11" x14ac:dyDescent="0.3">
      <c r="A168" s="44" t="s">
        <v>98</v>
      </c>
      <c r="B168" s="44" t="s">
        <v>98</v>
      </c>
      <c r="C168" s="44" t="s">
        <v>151</v>
      </c>
      <c r="D168" s="44" t="s">
        <v>204</v>
      </c>
      <c r="E168" s="44" t="s">
        <v>132</v>
      </c>
      <c r="F168" s="44" t="s">
        <v>155</v>
      </c>
      <c r="G168" s="44" t="s">
        <v>156</v>
      </c>
      <c r="H168">
        <v>0.05</v>
      </c>
      <c r="I168">
        <v>0</v>
      </c>
      <c r="J168" s="44" t="s">
        <v>98</v>
      </c>
      <c r="K168">
        <v>200</v>
      </c>
    </row>
    <row r="169" spans="1:11" x14ac:dyDescent="0.3">
      <c r="A169" s="44" t="s">
        <v>98</v>
      </c>
      <c r="B169" s="44" t="s">
        <v>98</v>
      </c>
      <c r="C169" s="44" t="s">
        <v>151</v>
      </c>
      <c r="D169" s="44" t="s">
        <v>204</v>
      </c>
      <c r="E169" s="44" t="s">
        <v>132</v>
      </c>
      <c r="F169" s="44" t="s">
        <v>135</v>
      </c>
      <c r="G169" s="44" t="s">
        <v>159</v>
      </c>
      <c r="H169">
        <v>7.0000000000000007E-2</v>
      </c>
      <c r="I169">
        <v>0</v>
      </c>
      <c r="J169" s="44" t="s">
        <v>98</v>
      </c>
      <c r="K169">
        <v>35</v>
      </c>
    </row>
    <row r="170" spans="1:11" x14ac:dyDescent="0.3">
      <c r="A170" s="44" t="s">
        <v>98</v>
      </c>
      <c r="B170" s="44" t="s">
        <v>98</v>
      </c>
      <c r="C170" s="44" t="s">
        <v>151</v>
      </c>
      <c r="D170" s="44" t="s">
        <v>204</v>
      </c>
      <c r="E170" s="44" t="s">
        <v>132</v>
      </c>
      <c r="F170" s="44" t="s">
        <v>137</v>
      </c>
      <c r="G170" s="44" t="s">
        <v>138</v>
      </c>
      <c r="H170">
        <v>0.43</v>
      </c>
      <c r="I170">
        <v>0</v>
      </c>
      <c r="J170" s="44" t="s">
        <v>98</v>
      </c>
      <c r="K170">
        <v>999.75</v>
      </c>
    </row>
    <row r="171" spans="1:11" x14ac:dyDescent="0.3">
      <c r="A171" s="44" t="s">
        <v>98</v>
      </c>
      <c r="B171" s="44" t="s">
        <v>98</v>
      </c>
      <c r="C171" s="44" t="s">
        <v>151</v>
      </c>
      <c r="D171" s="44" t="s">
        <v>204</v>
      </c>
      <c r="E171" s="44" t="s">
        <v>132</v>
      </c>
      <c r="F171" s="44" t="s">
        <v>139</v>
      </c>
      <c r="G171" s="44" t="s">
        <v>140</v>
      </c>
      <c r="H171">
        <v>0.79</v>
      </c>
      <c r="I171">
        <v>0</v>
      </c>
      <c r="J171" s="44" t="s">
        <v>98</v>
      </c>
      <c r="K171">
        <v>2086.35</v>
      </c>
    </row>
    <row r="172" spans="1:11" x14ac:dyDescent="0.3">
      <c r="A172" s="44" t="s">
        <v>98</v>
      </c>
      <c r="B172" s="44" t="s">
        <v>98</v>
      </c>
      <c r="C172" s="44" t="s">
        <v>151</v>
      </c>
      <c r="D172" s="44" t="s">
        <v>204</v>
      </c>
      <c r="E172" s="44" t="s">
        <v>132</v>
      </c>
      <c r="F172" s="44" t="s">
        <v>141</v>
      </c>
      <c r="G172" s="44" t="s">
        <v>142</v>
      </c>
      <c r="H172">
        <v>1.18</v>
      </c>
      <c r="I172">
        <v>0</v>
      </c>
      <c r="J172" s="44" t="s">
        <v>98</v>
      </c>
      <c r="K172">
        <v>590</v>
      </c>
    </row>
    <row r="173" spans="1:11" x14ac:dyDescent="0.3">
      <c r="A173" s="44" t="s">
        <v>98</v>
      </c>
      <c r="B173" s="44" t="s">
        <v>98</v>
      </c>
      <c r="C173" s="44" t="s">
        <v>151</v>
      </c>
      <c r="D173" s="44" t="s">
        <v>204</v>
      </c>
      <c r="E173" s="44" t="s">
        <v>132</v>
      </c>
      <c r="F173" s="44" t="s">
        <v>143</v>
      </c>
      <c r="G173" s="44" t="s">
        <v>144</v>
      </c>
      <c r="H173">
        <v>0.14000000000000001</v>
      </c>
      <c r="I173">
        <v>0</v>
      </c>
      <c r="J173" s="44" t="s">
        <v>98</v>
      </c>
      <c r="K173">
        <v>56</v>
      </c>
    </row>
    <row r="174" spans="1:11" x14ac:dyDescent="0.3">
      <c r="A174" s="44" t="s">
        <v>98</v>
      </c>
      <c r="B174" s="44" t="s">
        <v>98</v>
      </c>
      <c r="C174" s="44" t="s">
        <v>151</v>
      </c>
      <c r="D174" s="44" t="s">
        <v>204</v>
      </c>
      <c r="E174" s="44" t="s">
        <v>132</v>
      </c>
      <c r="F174" s="44" t="s">
        <v>147</v>
      </c>
      <c r="G174" s="44" t="s">
        <v>148</v>
      </c>
      <c r="H174">
        <v>0.15</v>
      </c>
      <c r="I174">
        <v>0</v>
      </c>
      <c r="J174" s="44" t="s">
        <v>98</v>
      </c>
      <c r="K174">
        <v>150</v>
      </c>
    </row>
    <row r="175" spans="1:11" x14ac:dyDescent="0.3">
      <c r="A175" s="44" t="s">
        <v>98</v>
      </c>
      <c r="B175" s="44" t="s">
        <v>98</v>
      </c>
      <c r="C175" s="44" t="s">
        <v>151</v>
      </c>
      <c r="D175" s="44" t="s">
        <v>205</v>
      </c>
      <c r="E175" s="44" t="s">
        <v>132</v>
      </c>
      <c r="F175" s="44" t="s">
        <v>133</v>
      </c>
      <c r="G175" s="44" t="s">
        <v>134</v>
      </c>
      <c r="H175">
        <v>5.6000000000000001E-2</v>
      </c>
      <c r="I175">
        <v>0</v>
      </c>
      <c r="J175" s="44" t="s">
        <v>98</v>
      </c>
      <c r="K175">
        <v>28</v>
      </c>
    </row>
    <row r="176" spans="1:11" x14ac:dyDescent="0.3">
      <c r="A176" s="44" t="s">
        <v>98</v>
      </c>
      <c r="B176" s="44" t="s">
        <v>98</v>
      </c>
      <c r="C176" s="44" t="s">
        <v>151</v>
      </c>
      <c r="D176" s="44" t="s">
        <v>205</v>
      </c>
      <c r="E176" s="44" t="s">
        <v>132</v>
      </c>
      <c r="F176" s="44" t="s">
        <v>137</v>
      </c>
      <c r="G176" s="44" t="s">
        <v>138</v>
      </c>
      <c r="H176">
        <v>1.2</v>
      </c>
      <c r="I176">
        <v>0</v>
      </c>
      <c r="J176" s="44" t="s">
        <v>98</v>
      </c>
      <c r="K176">
        <v>2886.75</v>
      </c>
    </row>
    <row r="177" spans="1:13" x14ac:dyDescent="0.3">
      <c r="A177" s="44" t="s">
        <v>98</v>
      </c>
      <c r="B177" s="44" t="s">
        <v>98</v>
      </c>
      <c r="C177" s="44" t="s">
        <v>151</v>
      </c>
      <c r="D177" s="44" t="s">
        <v>205</v>
      </c>
      <c r="E177" s="44" t="s">
        <v>132</v>
      </c>
      <c r="F177" s="44" t="s">
        <v>139</v>
      </c>
      <c r="G177" s="44" t="s">
        <v>140</v>
      </c>
      <c r="H177">
        <v>0.6</v>
      </c>
      <c r="I177">
        <v>0</v>
      </c>
      <c r="J177" s="44" t="s">
        <v>98</v>
      </c>
      <c r="K177">
        <v>755.2</v>
      </c>
    </row>
    <row r="178" spans="1:13" x14ac:dyDescent="0.3">
      <c r="A178" s="44" t="s">
        <v>98</v>
      </c>
      <c r="B178" s="44" t="s">
        <v>98</v>
      </c>
      <c r="C178" s="44" t="s">
        <v>151</v>
      </c>
      <c r="D178" s="44" t="s">
        <v>205</v>
      </c>
      <c r="E178" s="44" t="s">
        <v>132</v>
      </c>
      <c r="F178" s="44" t="s">
        <v>141</v>
      </c>
      <c r="G178" s="44" t="s">
        <v>142</v>
      </c>
      <c r="H178">
        <v>0.32</v>
      </c>
      <c r="I178">
        <v>0</v>
      </c>
      <c r="J178" s="44" t="s">
        <v>98</v>
      </c>
      <c r="K178">
        <v>160</v>
      </c>
    </row>
    <row r="179" spans="1:13" x14ac:dyDescent="0.3">
      <c r="A179" s="44" t="s">
        <v>98</v>
      </c>
      <c r="B179" s="44" t="s">
        <v>98</v>
      </c>
      <c r="C179" s="44" t="s">
        <v>151</v>
      </c>
      <c r="D179" s="44" t="s">
        <v>205</v>
      </c>
      <c r="E179" s="44" t="s">
        <v>132</v>
      </c>
      <c r="F179" s="44" t="s">
        <v>143</v>
      </c>
      <c r="G179" s="44" t="s">
        <v>144</v>
      </c>
      <c r="H179">
        <v>0.05</v>
      </c>
      <c r="I179">
        <v>0</v>
      </c>
      <c r="J179" s="44" t="s">
        <v>98</v>
      </c>
      <c r="K179">
        <v>20</v>
      </c>
    </row>
    <row r="180" spans="1:13" x14ac:dyDescent="0.3">
      <c r="A180" s="44" t="s">
        <v>98</v>
      </c>
      <c r="B180" s="44" t="s">
        <v>98</v>
      </c>
      <c r="C180" s="44" t="s">
        <v>151</v>
      </c>
      <c r="D180" s="44" t="s">
        <v>205</v>
      </c>
      <c r="E180" s="44" t="s">
        <v>132</v>
      </c>
      <c r="F180" s="44" t="s">
        <v>147</v>
      </c>
      <c r="G180" s="44" t="s">
        <v>148</v>
      </c>
      <c r="H180">
        <v>0.03</v>
      </c>
      <c r="I180">
        <v>0</v>
      </c>
      <c r="J180" s="44" t="s">
        <v>98</v>
      </c>
      <c r="K180">
        <v>30</v>
      </c>
    </row>
    <row r="181" spans="1:13" ht="15" thickBot="1" x14ac:dyDescent="0.35">
      <c r="A181" s="44" t="s">
        <v>98</v>
      </c>
      <c r="B181" s="44" t="s">
        <v>98</v>
      </c>
      <c r="C181" s="44" t="s">
        <v>151</v>
      </c>
      <c r="D181" s="44" t="s">
        <v>206</v>
      </c>
      <c r="E181" s="44" t="s">
        <v>132</v>
      </c>
      <c r="F181" s="44" t="s">
        <v>147</v>
      </c>
      <c r="G181" s="44" t="s">
        <v>148</v>
      </c>
      <c r="H181">
        <v>0.02</v>
      </c>
      <c r="I181">
        <v>0</v>
      </c>
      <c r="J181" s="44" t="s">
        <v>98</v>
      </c>
      <c r="K181">
        <v>26</v>
      </c>
    </row>
    <row r="182" spans="1:13" ht="15" thickBot="1" x14ac:dyDescent="0.35">
      <c r="A182" s="50"/>
      <c r="B182" s="51"/>
      <c r="C182" s="51"/>
      <c r="D182" s="52" t="s">
        <v>207</v>
      </c>
      <c r="E182" s="51"/>
      <c r="F182" s="51"/>
      <c r="G182" s="51"/>
      <c r="H182" s="51">
        <f>SUM(H146:H181)</f>
        <v>18.436000000000007</v>
      </c>
      <c r="I182" s="51"/>
      <c r="J182" s="51"/>
      <c r="K182" s="53">
        <f>SUM(K146:K181)</f>
        <v>38543.4</v>
      </c>
      <c r="M182" s="43" t="s">
        <v>149</v>
      </c>
    </row>
    <row r="185" spans="1:13" x14ac:dyDescent="0.3">
      <c r="M185" s="44" t="s">
        <v>98</v>
      </c>
    </row>
    <row r="186" spans="1:13" x14ac:dyDescent="0.3">
      <c r="A186">
        <v>247901</v>
      </c>
      <c r="B186" s="44" t="s">
        <v>129</v>
      </c>
      <c r="C186" s="44" t="s">
        <v>130</v>
      </c>
      <c r="D186" s="44" t="s">
        <v>208</v>
      </c>
      <c r="E186" s="44" t="s">
        <v>132</v>
      </c>
      <c r="F186" s="44" t="s">
        <v>141</v>
      </c>
      <c r="G186" s="44" t="s">
        <v>142</v>
      </c>
      <c r="H186">
        <v>0.6</v>
      </c>
      <c r="I186" s="44"/>
      <c r="K186">
        <v>300</v>
      </c>
      <c r="M186" s="44" t="s">
        <v>98</v>
      </c>
    </row>
    <row r="187" spans="1:13" x14ac:dyDescent="0.3">
      <c r="A187">
        <v>247901</v>
      </c>
      <c r="B187" s="44" t="s">
        <v>129</v>
      </c>
      <c r="C187" s="44" t="s">
        <v>130</v>
      </c>
      <c r="D187" s="44" t="s">
        <v>208</v>
      </c>
      <c r="E187" s="44" t="s">
        <v>132</v>
      </c>
      <c r="F187" s="44" t="s">
        <v>147</v>
      </c>
      <c r="G187" s="44" t="s">
        <v>148</v>
      </c>
      <c r="H187">
        <v>1.0900000000000001</v>
      </c>
      <c r="I187" s="44"/>
      <c r="K187">
        <v>1090</v>
      </c>
      <c r="M187" s="44" t="s">
        <v>98</v>
      </c>
    </row>
    <row r="188" spans="1:13" x14ac:dyDescent="0.3">
      <c r="A188">
        <v>248002</v>
      </c>
      <c r="B188" s="44" t="s">
        <v>129</v>
      </c>
      <c r="C188" s="44" t="s">
        <v>130</v>
      </c>
      <c r="D188" s="44" t="s">
        <v>209</v>
      </c>
      <c r="E188" s="44" t="s">
        <v>132</v>
      </c>
      <c r="F188" s="44" t="s">
        <v>141</v>
      </c>
      <c r="G188" s="44" t="s">
        <v>142</v>
      </c>
      <c r="H188">
        <v>0.5</v>
      </c>
      <c r="I188" s="44"/>
      <c r="K188">
        <v>250</v>
      </c>
      <c r="M188" s="44" t="s">
        <v>98</v>
      </c>
    </row>
    <row r="189" spans="1:13" x14ac:dyDescent="0.3">
      <c r="A189" s="44" t="s">
        <v>210</v>
      </c>
      <c r="B189" s="44" t="s">
        <v>129</v>
      </c>
      <c r="C189" s="44" t="s">
        <v>130</v>
      </c>
      <c r="D189" s="44" t="s">
        <v>211</v>
      </c>
      <c r="E189" s="44" t="s">
        <v>132</v>
      </c>
      <c r="F189" s="44" t="s">
        <v>143</v>
      </c>
      <c r="G189" s="44" t="s">
        <v>144</v>
      </c>
      <c r="H189">
        <v>6.54</v>
      </c>
      <c r="I189" s="44"/>
      <c r="K189">
        <v>2616</v>
      </c>
      <c r="M189" s="44" t="s">
        <v>98</v>
      </c>
    </row>
    <row r="190" spans="1:13" x14ac:dyDescent="0.3">
      <c r="A190">
        <v>248398</v>
      </c>
      <c r="B190" s="44" t="s">
        <v>129</v>
      </c>
      <c r="C190" s="44" t="s">
        <v>130</v>
      </c>
      <c r="D190" s="44" t="s">
        <v>212</v>
      </c>
      <c r="E190" s="44" t="s">
        <v>132</v>
      </c>
      <c r="F190" s="44" t="s">
        <v>147</v>
      </c>
      <c r="G190" s="44" t="s">
        <v>148</v>
      </c>
      <c r="H190">
        <v>0.18</v>
      </c>
      <c r="I190" s="44"/>
      <c r="K190">
        <v>246</v>
      </c>
      <c r="M190" s="44" t="s">
        <v>98</v>
      </c>
    </row>
    <row r="191" spans="1:13" ht="15" thickBot="1" x14ac:dyDescent="0.35">
      <c r="A191">
        <v>248657</v>
      </c>
      <c r="B191" s="44" t="s">
        <v>129</v>
      </c>
      <c r="C191" s="44" t="s">
        <v>130</v>
      </c>
      <c r="D191" s="44" t="s">
        <v>213</v>
      </c>
      <c r="E191" s="44" t="s">
        <v>132</v>
      </c>
      <c r="F191" s="44" t="s">
        <v>143</v>
      </c>
      <c r="G191" s="44" t="s">
        <v>144</v>
      </c>
      <c r="H191">
        <v>2.2200000000000002</v>
      </c>
      <c r="I191" s="44"/>
      <c r="K191">
        <v>888</v>
      </c>
      <c r="M191" s="44" t="s">
        <v>98</v>
      </c>
    </row>
    <row r="192" spans="1:13" ht="15" thickBot="1" x14ac:dyDescent="0.35">
      <c r="A192" s="45"/>
      <c r="B192" s="46"/>
      <c r="C192" s="46"/>
      <c r="D192" s="47" t="s">
        <v>214</v>
      </c>
      <c r="E192" s="46"/>
      <c r="F192" s="46"/>
      <c r="G192" s="46"/>
      <c r="H192" s="46">
        <f>SUM(H186:H191)</f>
        <v>11.13</v>
      </c>
      <c r="I192" s="46"/>
      <c r="J192" s="46"/>
      <c r="K192" s="48"/>
      <c r="M192" s="43" t="s">
        <v>149</v>
      </c>
    </row>
    <row r="194" spans="1:13" ht="15" thickBot="1" x14ac:dyDescent="0.35">
      <c r="A194">
        <v>179680</v>
      </c>
      <c r="B194" s="44" t="s">
        <v>215</v>
      </c>
      <c r="C194" s="44" t="s">
        <v>130</v>
      </c>
      <c r="D194" s="44" t="s">
        <v>216</v>
      </c>
      <c r="E194" s="44" t="s">
        <v>132</v>
      </c>
      <c r="F194" s="44" t="s">
        <v>143</v>
      </c>
      <c r="G194" s="44" t="s">
        <v>144</v>
      </c>
      <c r="H194">
        <v>8.65</v>
      </c>
      <c r="K194">
        <v>6812.5</v>
      </c>
    </row>
    <row r="195" spans="1:13" ht="15" thickBot="1" x14ac:dyDescent="0.35">
      <c r="A195" s="45"/>
      <c r="B195" s="46"/>
      <c r="C195" s="46"/>
      <c r="D195" s="47" t="s">
        <v>217</v>
      </c>
      <c r="E195" s="46"/>
      <c r="F195" s="46"/>
      <c r="G195" s="46"/>
      <c r="H195" s="46">
        <f>SUM(H194)</f>
        <v>8.65</v>
      </c>
      <c r="I195" s="46"/>
      <c r="J195" s="46"/>
      <c r="K195" s="48">
        <f>SUM(K194)</f>
        <v>6812.5</v>
      </c>
      <c r="M195" s="43" t="s">
        <v>149</v>
      </c>
    </row>
    <row r="197" spans="1:13" ht="15" thickBot="1" x14ac:dyDescent="0.35">
      <c r="A197" s="43" t="s">
        <v>218</v>
      </c>
    </row>
    <row r="198" spans="1:13" x14ac:dyDescent="0.3">
      <c r="A198" s="54" t="s">
        <v>219</v>
      </c>
      <c r="B198" s="55"/>
      <c r="C198" s="55"/>
      <c r="D198" s="55"/>
      <c r="E198" s="55"/>
      <c r="F198" s="55" t="s">
        <v>220</v>
      </c>
      <c r="G198" s="55" t="s">
        <v>221</v>
      </c>
      <c r="H198" s="55">
        <v>3.63</v>
      </c>
      <c r="I198" s="55"/>
      <c r="J198" s="55"/>
      <c r="K198" s="56">
        <v>32760.75</v>
      </c>
    </row>
    <row r="199" spans="1:13" x14ac:dyDescent="0.3">
      <c r="A199" s="57" t="s">
        <v>219</v>
      </c>
      <c r="F199" t="s">
        <v>222</v>
      </c>
      <c r="G199" t="s">
        <v>223</v>
      </c>
      <c r="H199">
        <v>107.88699999999999</v>
      </c>
      <c r="K199" s="58">
        <v>204446.48</v>
      </c>
    </row>
    <row r="200" spans="1:13" x14ac:dyDescent="0.3">
      <c r="A200" s="57" t="s">
        <v>219</v>
      </c>
      <c r="F200" t="s">
        <v>224</v>
      </c>
      <c r="G200" t="s">
        <v>225</v>
      </c>
      <c r="H200">
        <v>1.04</v>
      </c>
      <c r="K200" s="58">
        <v>785.2</v>
      </c>
    </row>
    <row r="201" spans="1:13" x14ac:dyDescent="0.3">
      <c r="A201" s="57" t="s">
        <v>219</v>
      </c>
      <c r="F201" t="s">
        <v>226</v>
      </c>
      <c r="G201" t="s">
        <v>227</v>
      </c>
      <c r="H201">
        <v>0.35</v>
      </c>
      <c r="K201" s="58">
        <v>215.25</v>
      </c>
    </row>
    <row r="202" spans="1:13" x14ac:dyDescent="0.3">
      <c r="A202" s="57" t="s">
        <v>219</v>
      </c>
      <c r="F202" t="s">
        <v>228</v>
      </c>
      <c r="G202" t="s">
        <v>229</v>
      </c>
      <c r="H202">
        <v>0.51</v>
      </c>
      <c r="K202" s="58">
        <v>966.45</v>
      </c>
    </row>
    <row r="203" spans="1:13" x14ac:dyDescent="0.3">
      <c r="A203" s="57" t="s">
        <v>219</v>
      </c>
      <c r="F203" t="s">
        <v>153</v>
      </c>
      <c r="G203" t="s">
        <v>154</v>
      </c>
      <c r="H203">
        <v>15.717999999999998</v>
      </c>
      <c r="K203" s="58">
        <v>920</v>
      </c>
    </row>
    <row r="204" spans="1:13" x14ac:dyDescent="0.3">
      <c r="A204" s="57" t="s">
        <v>219</v>
      </c>
      <c r="F204" t="s">
        <v>155</v>
      </c>
      <c r="G204" t="s">
        <v>156</v>
      </c>
      <c r="H204">
        <v>9.8709999999999969</v>
      </c>
      <c r="K204" s="58">
        <v>26764</v>
      </c>
    </row>
    <row r="205" spans="1:13" x14ac:dyDescent="0.3">
      <c r="A205" s="57" t="s">
        <v>219</v>
      </c>
      <c r="F205" t="s">
        <v>230</v>
      </c>
      <c r="G205" t="s">
        <v>231</v>
      </c>
      <c r="H205">
        <v>0.92800000000000005</v>
      </c>
      <c r="K205" s="58">
        <v>0</v>
      </c>
    </row>
    <row r="206" spans="1:13" x14ac:dyDescent="0.3">
      <c r="A206" s="57" t="s">
        <v>219</v>
      </c>
      <c r="F206" t="s">
        <v>232</v>
      </c>
      <c r="G206" t="s">
        <v>233</v>
      </c>
      <c r="H206">
        <v>1.8599999999999999</v>
      </c>
      <c r="K206" s="58">
        <v>1528.92</v>
      </c>
    </row>
    <row r="207" spans="1:13" x14ac:dyDescent="0.3">
      <c r="A207" s="57" t="s">
        <v>219</v>
      </c>
      <c r="F207" t="s">
        <v>133</v>
      </c>
      <c r="G207" t="s">
        <v>134</v>
      </c>
      <c r="H207">
        <v>0.92500000000000016</v>
      </c>
      <c r="K207" s="58">
        <v>2355</v>
      </c>
    </row>
    <row r="208" spans="1:13" x14ac:dyDescent="0.3">
      <c r="A208" s="57" t="s">
        <v>219</v>
      </c>
      <c r="F208" t="s">
        <v>157</v>
      </c>
      <c r="G208" t="s">
        <v>158</v>
      </c>
      <c r="H208">
        <v>10.199999999999999</v>
      </c>
      <c r="K208" s="58">
        <v>19644.750000000004</v>
      </c>
    </row>
    <row r="209" spans="1:18" x14ac:dyDescent="0.3">
      <c r="A209" s="57" t="s">
        <v>219</v>
      </c>
      <c r="F209" t="s">
        <v>135</v>
      </c>
      <c r="G209" t="s">
        <v>136</v>
      </c>
      <c r="H209">
        <v>17.659999999999997</v>
      </c>
      <c r="K209" s="58">
        <v>6947.8</v>
      </c>
    </row>
    <row r="210" spans="1:18" x14ac:dyDescent="0.3">
      <c r="A210" s="57" t="s">
        <v>219</v>
      </c>
      <c r="F210" t="s">
        <v>157</v>
      </c>
      <c r="G210" t="s">
        <v>234</v>
      </c>
      <c r="H210">
        <v>0.05</v>
      </c>
      <c r="K210" s="58">
        <v>94.75</v>
      </c>
    </row>
    <row r="211" spans="1:18" x14ac:dyDescent="0.3">
      <c r="A211" s="57" t="s">
        <v>219</v>
      </c>
      <c r="F211" t="s">
        <v>139</v>
      </c>
      <c r="G211" t="s">
        <v>140</v>
      </c>
      <c r="H211">
        <v>121.13199999999995</v>
      </c>
      <c r="K211" s="58">
        <v>230101.23999999996</v>
      </c>
    </row>
    <row r="212" spans="1:18" x14ac:dyDescent="0.3">
      <c r="A212" s="57" t="s">
        <v>219</v>
      </c>
      <c r="F212" t="s">
        <v>135</v>
      </c>
      <c r="G212" t="s">
        <v>235</v>
      </c>
      <c r="H212">
        <v>0.03</v>
      </c>
      <c r="K212" s="58">
        <v>0</v>
      </c>
    </row>
    <row r="213" spans="1:18" x14ac:dyDescent="0.3">
      <c r="A213" s="57" t="s">
        <v>219</v>
      </c>
      <c r="F213" t="s">
        <v>141</v>
      </c>
      <c r="G213" t="s">
        <v>142</v>
      </c>
      <c r="H213">
        <v>42.296999999999983</v>
      </c>
      <c r="K213" s="58">
        <v>21148.5</v>
      </c>
    </row>
    <row r="214" spans="1:18" x14ac:dyDescent="0.3">
      <c r="A214" s="57" t="s">
        <v>219</v>
      </c>
      <c r="F214" t="s">
        <v>143</v>
      </c>
      <c r="G214" t="s">
        <v>144</v>
      </c>
      <c r="H214">
        <v>49.938000000000002</v>
      </c>
      <c r="K214" s="58">
        <v>36654.860000000008</v>
      </c>
    </row>
    <row r="215" spans="1:18" ht="15" thickBot="1" x14ac:dyDescent="0.35">
      <c r="A215" s="59" t="s">
        <v>219</v>
      </c>
      <c r="B215" s="60"/>
      <c r="C215" s="60"/>
      <c r="D215" s="60"/>
      <c r="E215" s="60"/>
      <c r="F215" s="60" t="s">
        <v>147</v>
      </c>
      <c r="G215" s="60" t="s">
        <v>148</v>
      </c>
      <c r="H215" s="60">
        <v>17.476999999999997</v>
      </c>
      <c r="I215" s="60"/>
      <c r="J215" s="60"/>
      <c r="K215" s="61">
        <v>20031.3</v>
      </c>
    </row>
    <row r="216" spans="1:18" ht="15" thickBot="1" x14ac:dyDescent="0.35">
      <c r="F216" s="45" t="s">
        <v>236</v>
      </c>
      <c r="G216" s="46"/>
      <c r="H216" s="46">
        <f>SUM(H198:H215)</f>
        <v>401.50299999999987</v>
      </c>
      <c r="I216" s="46"/>
      <c r="J216" s="46"/>
      <c r="K216" s="48">
        <f>SUM(K198:K215)</f>
        <v>605365.25</v>
      </c>
      <c r="M216" s="43" t="s">
        <v>149</v>
      </c>
    </row>
    <row r="217" spans="1:18" x14ac:dyDescent="0.3">
      <c r="H217">
        <f>SUBTOTAL(9,H2:H216)</f>
        <v>2000.6059999999995</v>
      </c>
      <c r="I217">
        <v>195.10400000000013</v>
      </c>
    </row>
    <row r="218" spans="1:18" x14ac:dyDescent="0.3">
      <c r="G218">
        <v>200303</v>
      </c>
      <c r="H218">
        <v>144.67999999999998</v>
      </c>
      <c r="M218" t="s">
        <v>299</v>
      </c>
      <c r="N218">
        <f>H218+H220+H221+H222+I219+H224</f>
        <v>680.34299999999996</v>
      </c>
      <c r="P218" t="s">
        <v>302</v>
      </c>
      <c r="Q218" t="s">
        <v>300</v>
      </c>
      <c r="R218" t="s">
        <v>303</v>
      </c>
    </row>
    <row r="219" spans="1:18" x14ac:dyDescent="0.3">
      <c r="G219">
        <v>200307</v>
      </c>
      <c r="H219">
        <v>195.10400000000013</v>
      </c>
      <c r="I219">
        <f>12.077+1.4+39.661</f>
        <v>53.138000000000005</v>
      </c>
      <c r="O219">
        <v>2023</v>
      </c>
      <c r="P219" s="11">
        <v>24791000</v>
      </c>
      <c r="Q219" s="11">
        <f>1589000+1458000+1780000+1236000</f>
        <v>6063000</v>
      </c>
      <c r="R219" s="11">
        <f>P219-Q219</f>
        <v>18728000</v>
      </c>
    </row>
    <row r="220" spans="1:18" x14ac:dyDescent="0.3">
      <c r="G220">
        <v>200301</v>
      </c>
      <c r="H220">
        <v>84.53</v>
      </c>
      <c r="M220" t="s">
        <v>300</v>
      </c>
      <c r="N220">
        <f>H219+H223-I219</f>
        <v>250.9680000000001</v>
      </c>
      <c r="P220" s="11"/>
      <c r="Q220" s="11"/>
      <c r="R220" s="11"/>
    </row>
    <row r="221" spans="1:18" x14ac:dyDescent="0.3">
      <c r="G221">
        <v>170904</v>
      </c>
      <c r="H221">
        <v>218.54799999999997</v>
      </c>
      <c r="O221">
        <v>2024</v>
      </c>
      <c r="P221" s="11"/>
      <c r="Q221" s="11">
        <f>3674000+2135000+2061000</f>
        <v>7870000</v>
      </c>
      <c r="R221" s="11">
        <v>9661000</v>
      </c>
    </row>
    <row r="222" spans="1:18" x14ac:dyDescent="0.3">
      <c r="G222">
        <v>170605</v>
      </c>
      <c r="H222">
        <v>71.56</v>
      </c>
      <c r="N222">
        <f>N218+N220</f>
        <v>931.31100000000004</v>
      </c>
      <c r="P222" s="11">
        <f>Q222+R222</f>
        <v>29815333.333333336</v>
      </c>
      <c r="Q222" s="11">
        <f>Q221/3*4</f>
        <v>10493333.333333334</v>
      </c>
      <c r="R222" s="11">
        <f>R221*2</f>
        <v>19322000</v>
      </c>
    </row>
    <row r="223" spans="1:18" x14ac:dyDescent="0.3">
      <c r="G223">
        <v>200138</v>
      </c>
      <c r="H223">
        <v>109.00199999999998</v>
      </c>
    </row>
    <row r="224" spans="1:18" x14ac:dyDescent="0.3">
      <c r="G224">
        <v>70213</v>
      </c>
      <c r="H224">
        <v>107.88699999999999</v>
      </c>
    </row>
    <row r="225" spans="7:18" x14ac:dyDescent="0.3">
      <c r="G225" t="s">
        <v>306</v>
      </c>
      <c r="H225">
        <v>14</v>
      </c>
      <c r="N225" t="s">
        <v>304</v>
      </c>
      <c r="O225" t="s">
        <v>299</v>
      </c>
    </row>
    <row r="226" spans="7:18" x14ac:dyDescent="0.3">
      <c r="N226">
        <v>2023</v>
      </c>
      <c r="Q226">
        <v>2024</v>
      </c>
    </row>
    <row r="227" spans="7:18" x14ac:dyDescent="0.3">
      <c r="H227">
        <f>SUM(H218:H226)</f>
        <v>945.31099999999992</v>
      </c>
      <c r="N227">
        <v>1662341</v>
      </c>
      <c r="O227">
        <v>4151000</v>
      </c>
      <c r="Q227">
        <v>940000</v>
      </c>
      <c r="R227">
        <v>6725000</v>
      </c>
    </row>
    <row r="228" spans="7:18" x14ac:dyDescent="0.3">
      <c r="H228">
        <v>1000</v>
      </c>
      <c r="N228">
        <v>600000</v>
      </c>
      <c r="Q228">
        <v>350000</v>
      </c>
    </row>
    <row r="229" spans="7:18" x14ac:dyDescent="0.3">
      <c r="H229">
        <f>H228-H227</f>
        <v>54.689000000000078</v>
      </c>
      <c r="N229">
        <f>O229*1.25</f>
        <v>8016676.25</v>
      </c>
      <c r="O229">
        <f>N227+N228+O227</f>
        <v>6413341</v>
      </c>
      <c r="Q229">
        <f>R229*1.25</f>
        <v>10018750</v>
      </c>
      <c r="R229">
        <f>Q227+Q228+R227</f>
        <v>8015000</v>
      </c>
    </row>
    <row r="230" spans="7:18" x14ac:dyDescent="0.3">
      <c r="N230">
        <v>16841</v>
      </c>
      <c r="Q230">
        <f>18877-7167</f>
        <v>11710</v>
      </c>
    </row>
    <row r="232" spans="7:18" x14ac:dyDescent="0.3">
      <c r="N232">
        <f>N229/N230</f>
        <v>476.02139124755064</v>
      </c>
      <c r="Q232">
        <f>Q229/Q230</f>
        <v>855.57216054654145</v>
      </c>
    </row>
    <row r="233" spans="7:18" x14ac:dyDescent="0.3">
      <c r="N233">
        <f>N232+145</f>
        <v>621.02139124755058</v>
      </c>
      <c r="Q233">
        <f>Q232+145</f>
        <v>1000.5721605465415</v>
      </c>
    </row>
    <row r="234" spans="7:18" x14ac:dyDescent="0.3">
      <c r="N234">
        <f>3000*1.25</f>
        <v>3750</v>
      </c>
      <c r="Q234">
        <f>3200*1.25</f>
        <v>4000</v>
      </c>
    </row>
    <row r="240" spans="7:18" x14ac:dyDescent="0.3">
      <c r="H240">
        <v>2024</v>
      </c>
    </row>
    <row r="241" spans="7:20" x14ac:dyDescent="0.3">
      <c r="H241">
        <v>1619.2399999999993</v>
      </c>
      <c r="L241" s="393">
        <v>2024</v>
      </c>
      <c r="M241" s="393"/>
      <c r="N241" s="393"/>
      <c r="O241" s="393"/>
      <c r="Q241" s="393">
        <v>2023</v>
      </c>
      <c r="R241" s="393"/>
      <c r="S241" s="393"/>
      <c r="T241" s="393"/>
    </row>
    <row r="242" spans="7:20" x14ac:dyDescent="0.3">
      <c r="G242">
        <v>170605</v>
      </c>
      <c r="H242">
        <v>93.86</v>
      </c>
      <c r="L242" t="s">
        <v>299</v>
      </c>
      <c r="M242">
        <f>627.841+H252</f>
        <v>686.41860000000008</v>
      </c>
      <c r="O242">
        <f>M242*Q233</f>
        <v>686811.34164133226</v>
      </c>
      <c r="Q242" t="s">
        <v>299</v>
      </c>
      <c r="R242">
        <f>N218+H229</f>
        <v>735.03200000000004</v>
      </c>
      <c r="T242">
        <f>R242*N233</f>
        <v>456470.59525146964</v>
      </c>
    </row>
    <row r="243" spans="7:20" x14ac:dyDescent="0.3">
      <c r="G243">
        <v>170904</v>
      </c>
      <c r="H243">
        <v>197.815</v>
      </c>
    </row>
    <row r="244" spans="7:20" x14ac:dyDescent="0.3">
      <c r="G244">
        <v>200138</v>
      </c>
      <c r="H244">
        <v>124.163</v>
      </c>
      <c r="L244" t="s">
        <v>300</v>
      </c>
      <c r="M244">
        <f>H247-I247+H249</f>
        <v>202.41839999999996</v>
      </c>
      <c r="O244">
        <f>Q234*M244</f>
        <v>809673.59999999986</v>
      </c>
      <c r="Q244" t="s">
        <v>300</v>
      </c>
      <c r="R244">
        <f>H225+H219-I219</f>
        <v>155.96600000000012</v>
      </c>
      <c r="T244">
        <f>R244*N234</f>
        <v>584872.50000000047</v>
      </c>
    </row>
    <row r="245" spans="7:20" x14ac:dyDescent="0.3">
      <c r="G245">
        <v>200301</v>
      </c>
      <c r="H245">
        <v>71.296999999999997</v>
      </c>
    </row>
    <row r="246" spans="7:20" x14ac:dyDescent="0.3">
      <c r="G246">
        <v>200303</v>
      </c>
      <c r="H246">
        <v>175.38</v>
      </c>
      <c r="M246">
        <f>SUM(M242:M244)</f>
        <v>888.83699999999999</v>
      </c>
      <c r="O246">
        <f>O242+O244</f>
        <v>1496484.9416413321</v>
      </c>
      <c r="R246">
        <f>SUM(R242:R244)</f>
        <v>890.99800000000016</v>
      </c>
      <c r="T246">
        <f>T242+T244</f>
        <v>1041343.0952514701</v>
      </c>
    </row>
    <row r="247" spans="7:20" x14ac:dyDescent="0.3">
      <c r="G247">
        <v>200307</v>
      </c>
      <c r="H247">
        <v>194.45339999999999</v>
      </c>
      <c r="I247">
        <v>4.4249999999999998</v>
      </c>
    </row>
    <row r="248" spans="7:20" x14ac:dyDescent="0.3">
      <c r="G248">
        <v>7213</v>
      </c>
      <c r="H248">
        <v>85.063999999999993</v>
      </c>
      <c r="L248" t="s">
        <v>307</v>
      </c>
      <c r="M248">
        <f>H251-M246</f>
        <v>124.16300000000001</v>
      </c>
      <c r="O248">
        <v>1471239</v>
      </c>
      <c r="Q248" t="s">
        <v>307</v>
      </c>
      <c r="R248">
        <f>H228-R246</f>
        <v>109.00199999999984</v>
      </c>
      <c r="T248">
        <v>1317389</v>
      </c>
    </row>
    <row r="249" spans="7:20" x14ac:dyDescent="0.3">
      <c r="G249" t="s">
        <v>305</v>
      </c>
      <c r="H249">
        <f>7+5.39</f>
        <v>12.39</v>
      </c>
    </row>
    <row r="250" spans="7:20" x14ac:dyDescent="0.3">
      <c r="G250" t="s">
        <v>301</v>
      </c>
      <c r="H250">
        <f>SUM(H242:H249)</f>
        <v>954.42239999999993</v>
      </c>
      <c r="O250">
        <f>O248-O246</f>
        <v>-25245.941641332116</v>
      </c>
      <c r="T250">
        <f>T248-T246</f>
        <v>276045.90474852989</v>
      </c>
    </row>
    <row r="251" spans="7:20" x14ac:dyDescent="0.3">
      <c r="H251">
        <v>1013</v>
      </c>
    </row>
    <row r="252" spans="7:20" x14ac:dyDescent="0.3">
      <c r="H252">
        <f>H251-H250</f>
        <v>58.577600000000075</v>
      </c>
    </row>
  </sheetData>
  <autoFilter ref="A1:M216" xr:uid="{E9DA1803-6512-4930-AB8D-114CA84FAB2D}"/>
  <mergeCells count="2">
    <mergeCell ref="L241:O241"/>
    <mergeCell ref="Q241:T24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5C80-98F8-4DD4-BCEA-AF1A7E17BC00}">
  <dimension ref="A1:G42"/>
  <sheetViews>
    <sheetView workbookViewId="0">
      <selection sqref="A1:D42"/>
    </sheetView>
  </sheetViews>
  <sheetFormatPr defaultRowHeight="14.4" x14ac:dyDescent="0.3"/>
  <cols>
    <col min="1" max="1" width="64" customWidth="1"/>
    <col min="2" max="3" width="23.88671875" customWidth="1"/>
    <col min="4" max="4" width="20.88671875" customWidth="1"/>
    <col min="6" max="6" width="24.33203125" hidden="1" customWidth="1"/>
    <col min="7" max="7" width="23.6640625" hidden="1" customWidth="1"/>
  </cols>
  <sheetData>
    <row r="1" spans="1:7" ht="25.8" thickBot="1" x14ac:dyDescent="0.5">
      <c r="A1" s="395" t="s">
        <v>428</v>
      </c>
      <c r="B1" s="395"/>
      <c r="C1" s="395"/>
      <c r="D1" s="395"/>
    </row>
    <row r="2" spans="1:7" ht="23.4" hidden="1" thickBot="1" x14ac:dyDescent="0.45">
      <c r="A2" s="165" t="s">
        <v>114</v>
      </c>
      <c r="B2" s="166">
        <v>2023</v>
      </c>
      <c r="C2" s="166" t="s">
        <v>112</v>
      </c>
      <c r="D2" s="15">
        <v>2025</v>
      </c>
    </row>
    <row r="3" spans="1:7" ht="22.8" hidden="1" x14ac:dyDescent="0.4">
      <c r="A3" s="16" t="s">
        <v>387</v>
      </c>
      <c r="B3" s="17">
        <f>'PŘEÚČTOVÁNÍ STŘEDISEK 2023'!H66</f>
        <v>90483384.060000002</v>
      </c>
      <c r="C3" s="17">
        <f>'PŘEÚČTOVÁNÍ STŘEDISEK 2023'!D66</f>
        <v>72241197.25</v>
      </c>
      <c r="D3" s="18"/>
    </row>
    <row r="4" spans="1:7" ht="22.8" hidden="1" x14ac:dyDescent="0.4">
      <c r="A4" s="19" t="s">
        <v>388</v>
      </c>
      <c r="B4" s="20">
        <f>'PŘEÚČTOVÁNÍ STŘEDISEK 2023'!G14</f>
        <v>20053305.370000001</v>
      </c>
      <c r="C4" s="20">
        <f>'PŘEÚČTOVÁNÍ STŘEDISEK 2023'!D67</f>
        <v>15673940.010000002</v>
      </c>
      <c r="D4" s="21"/>
    </row>
    <row r="5" spans="1:7" ht="22.8" hidden="1" x14ac:dyDescent="0.4">
      <c r="A5" s="19" t="s">
        <v>389</v>
      </c>
      <c r="B5" s="22">
        <f>'PŘEÚČTOVÁNÍ STŘEDISEK 2023'!Q12</f>
        <v>22555224.389999997</v>
      </c>
      <c r="C5" s="22">
        <f>'PŘEÚČTOVÁNÍ STŘEDISEK 2023'!N12</f>
        <v>17702606.480000004</v>
      </c>
      <c r="D5" s="21"/>
    </row>
    <row r="6" spans="1:7" ht="22.8" hidden="1" x14ac:dyDescent="0.4">
      <c r="A6" s="19" t="s">
        <v>84</v>
      </c>
      <c r="B6" s="23">
        <f>B5/B3</f>
        <v>0.24927476601718954</v>
      </c>
      <c r="C6" s="23">
        <f>C5/C3</f>
        <v>0.24504863089045778</v>
      </c>
      <c r="D6" s="21"/>
    </row>
    <row r="7" spans="1:7" ht="23.4" hidden="1" thickBot="1" x14ac:dyDescent="0.45">
      <c r="A7" s="19" t="s">
        <v>390</v>
      </c>
      <c r="B7" s="24">
        <v>8</v>
      </c>
      <c r="C7" s="24">
        <v>8</v>
      </c>
      <c r="D7" s="21"/>
    </row>
    <row r="8" spans="1:7" ht="23.4" thickBot="1" x14ac:dyDescent="0.45">
      <c r="A8" s="13" t="s">
        <v>426</v>
      </c>
      <c r="B8" s="24">
        <v>2023</v>
      </c>
      <c r="C8" s="24">
        <v>2024</v>
      </c>
      <c r="D8" s="21">
        <v>2025</v>
      </c>
    </row>
    <row r="9" spans="1:7" ht="22.8" hidden="1" x14ac:dyDescent="0.4">
      <c r="A9" s="19" t="s">
        <v>377</v>
      </c>
      <c r="B9" s="20">
        <f>B4/B7</f>
        <v>2506663.1712500001</v>
      </c>
      <c r="C9" s="20">
        <f>C4/C7/9*12</f>
        <v>2612323.335</v>
      </c>
      <c r="D9" s="21"/>
    </row>
    <row r="10" spans="1:7" ht="22.8" hidden="1" x14ac:dyDescent="0.4">
      <c r="A10" s="19" t="s">
        <v>100</v>
      </c>
      <c r="B10" s="20">
        <f>B9*B6+B9</f>
        <v>3131511.0467472505</v>
      </c>
      <c r="C10" s="20">
        <f>C9*C6+C9</f>
        <v>3252469.5916849449</v>
      </c>
      <c r="D10" s="21"/>
    </row>
    <row r="11" spans="1:7" ht="22.8" hidden="1" x14ac:dyDescent="0.4">
      <c r="A11" s="19" t="s">
        <v>391</v>
      </c>
      <c r="B11" s="24">
        <v>2</v>
      </c>
      <c r="C11" s="24">
        <v>2.2999999999999998</v>
      </c>
      <c r="D11" s="21"/>
    </row>
    <row r="12" spans="1:7" ht="22.8" hidden="1" x14ac:dyDescent="0.4">
      <c r="A12" s="25" t="s">
        <v>427</v>
      </c>
      <c r="B12" s="26">
        <f>B10*B11</f>
        <v>6263022.093494501</v>
      </c>
      <c r="C12" s="26">
        <f>C10*C11</f>
        <v>7480680.060875373</v>
      </c>
      <c r="D12" s="27"/>
    </row>
    <row r="13" spans="1:7" ht="22.8" x14ac:dyDescent="0.4">
      <c r="A13" s="161" t="s">
        <v>441</v>
      </c>
      <c r="B13" s="162"/>
      <c r="C13" s="163">
        <f>C12*1.1</f>
        <v>8228748.0669629108</v>
      </c>
      <c r="D13" s="164"/>
      <c r="F13" s="11">
        <f>G13-C14</f>
        <v>971784.06696291082</v>
      </c>
      <c r="G13" s="11">
        <f>C12*10%+C12</f>
        <v>8228748.0669629108</v>
      </c>
    </row>
    <row r="14" spans="1:7" ht="22.8" x14ac:dyDescent="0.4">
      <c r="A14" s="25" t="s">
        <v>423</v>
      </c>
      <c r="B14" s="28"/>
      <c r="C14" s="26">
        <f>604747*12</f>
        <v>7256964</v>
      </c>
      <c r="D14" s="29"/>
      <c r="F14" s="11"/>
      <c r="G14" s="11"/>
    </row>
    <row r="15" spans="1:7" ht="22.8" x14ac:dyDescent="0.4">
      <c r="A15" s="161" t="s">
        <v>379</v>
      </c>
      <c r="B15" s="162"/>
      <c r="C15" s="167">
        <f>C14-C13</f>
        <v>-971784.06696291082</v>
      </c>
      <c r="D15" s="164"/>
      <c r="F15" s="11"/>
      <c r="G15" s="11"/>
    </row>
    <row r="16" spans="1:7" ht="23.4" thickBot="1" x14ac:dyDescent="0.45">
      <c r="A16" s="30" t="s">
        <v>378</v>
      </c>
      <c r="B16" s="31"/>
      <c r="C16" s="32"/>
      <c r="D16" s="168">
        <f>C13*1.06</f>
        <v>8722472.9509806857</v>
      </c>
      <c r="F16" s="11">
        <f>G13</f>
        <v>8228748.0669629108</v>
      </c>
      <c r="G16" s="11">
        <f>F16*1.06</f>
        <v>8722472.9509806857</v>
      </c>
    </row>
    <row r="17" spans="1:4" ht="247.95" hidden="1" customHeight="1" thickBot="1" x14ac:dyDescent="0.35"/>
    <row r="18" spans="1:4" ht="23.4" hidden="1" thickBot="1" x14ac:dyDescent="0.45">
      <c r="A18" s="13" t="s">
        <v>101</v>
      </c>
      <c r="B18" s="14">
        <v>2023</v>
      </c>
      <c r="C18" s="14">
        <v>2024</v>
      </c>
      <c r="D18" s="15">
        <v>2025</v>
      </c>
    </row>
    <row r="19" spans="1:4" ht="22.8" hidden="1" x14ac:dyDescent="0.4">
      <c r="A19" s="16" t="s">
        <v>102</v>
      </c>
      <c r="B19" s="17">
        <f>'PŘEÚČTOVÁNÍ STŘEDISEK 2023'!I81</f>
        <v>1317389</v>
      </c>
      <c r="C19" s="17">
        <f>'PŘEÚČTOVÁNÍ STŘEDISEK 2023'!J81</f>
        <v>1682325</v>
      </c>
      <c r="D19" s="18"/>
    </row>
    <row r="20" spans="1:4" ht="22.8" hidden="1" x14ac:dyDescent="0.4">
      <c r="A20" s="19" t="s">
        <v>108</v>
      </c>
      <c r="B20" s="20">
        <f>B19</f>
        <v>1317389</v>
      </c>
      <c r="C20" s="20">
        <f>C19/9*12</f>
        <v>2243100</v>
      </c>
      <c r="D20" s="21"/>
    </row>
    <row r="21" spans="1:4" ht="22.8" hidden="1" x14ac:dyDescent="0.4">
      <c r="A21" s="25" t="s">
        <v>110</v>
      </c>
      <c r="B21" s="26">
        <f>B19*0.1</f>
        <v>131738.9</v>
      </c>
      <c r="C21" s="26">
        <f>C20*0.1</f>
        <v>224310</v>
      </c>
      <c r="D21" s="21"/>
    </row>
    <row r="22" spans="1:4" ht="22.8" hidden="1" x14ac:dyDescent="0.4">
      <c r="A22" s="25" t="s">
        <v>103</v>
      </c>
      <c r="B22" s="33">
        <f>'PŘEÚČTOVÁNÍ STŘEDISEK 2023'!I82</f>
        <v>1000.303</v>
      </c>
      <c r="C22" s="33">
        <f>'PŘEÚČTOVÁNÍ STŘEDISEK 2023'!J82</f>
        <v>1143.4010000000001</v>
      </c>
      <c r="D22" s="21"/>
    </row>
    <row r="23" spans="1:4" ht="22.8" hidden="1" x14ac:dyDescent="0.4">
      <c r="A23" s="25" t="s">
        <v>104</v>
      </c>
      <c r="B23" s="34">
        <f>'PŘEÚČTOVÁNÍ STŘEDISEK 2023'!I83</f>
        <v>20653</v>
      </c>
      <c r="C23" s="34">
        <v>14786</v>
      </c>
      <c r="D23" s="21"/>
    </row>
    <row r="24" spans="1:4" ht="22.8" hidden="1" x14ac:dyDescent="0.4">
      <c r="A24" s="25" t="s">
        <v>105</v>
      </c>
      <c r="B24" s="33">
        <v>3149</v>
      </c>
      <c r="C24" s="33">
        <v>2141</v>
      </c>
      <c r="D24" s="21"/>
    </row>
    <row r="25" spans="1:4" ht="22.8" hidden="1" x14ac:dyDescent="0.4">
      <c r="A25" s="25" t="s">
        <v>106</v>
      </c>
      <c r="B25" s="35">
        <v>78</v>
      </c>
      <c r="C25" s="35">
        <v>84</v>
      </c>
      <c r="D25" s="21"/>
    </row>
    <row r="26" spans="1:4" ht="22.8" hidden="1" x14ac:dyDescent="0.4">
      <c r="A26" s="25" t="s">
        <v>107</v>
      </c>
      <c r="B26" s="28">
        <f>B23*B25</f>
        <v>1610934</v>
      </c>
      <c r="C26" s="28">
        <f>C23*C25</f>
        <v>1242024</v>
      </c>
      <c r="D26" s="21"/>
    </row>
    <row r="27" spans="1:4" ht="22.8" hidden="1" x14ac:dyDescent="0.4">
      <c r="A27" s="25"/>
      <c r="B27" s="36">
        <f>B22/(B24+B22)</f>
        <v>0.24107735684764406</v>
      </c>
      <c r="C27" s="36">
        <f>C22/(C24+C22)</f>
        <v>0.34813075504483165</v>
      </c>
      <c r="D27" s="21"/>
    </row>
    <row r="28" spans="1:4" ht="22.8" hidden="1" x14ac:dyDescent="0.4">
      <c r="A28" s="25"/>
      <c r="B28" s="26">
        <f>B26*B27</f>
        <v>388359.71077600261</v>
      </c>
      <c r="C28" s="26">
        <f>C26*C27</f>
        <v>432386.75290380197</v>
      </c>
      <c r="D28" s="37"/>
    </row>
    <row r="29" spans="1:4" ht="22.8" hidden="1" x14ac:dyDescent="0.4">
      <c r="A29" s="25" t="s">
        <v>111</v>
      </c>
      <c r="B29" s="26">
        <f>B28</f>
        <v>388359.71077600261</v>
      </c>
      <c r="C29" s="26">
        <f>C28/9*12</f>
        <v>576515.67053840263</v>
      </c>
      <c r="D29" s="37"/>
    </row>
    <row r="30" spans="1:4" ht="22.8" hidden="1" x14ac:dyDescent="0.4">
      <c r="A30" s="25" t="s">
        <v>113</v>
      </c>
      <c r="B30" s="26"/>
      <c r="C30" s="26">
        <v>960000</v>
      </c>
      <c r="D30" s="37">
        <f>'PŘEÚČTOVÁNÍ STŘEDISEK 2023'!B88</f>
        <v>1011530</v>
      </c>
    </row>
    <row r="31" spans="1:4" ht="22.8" hidden="1" x14ac:dyDescent="0.4">
      <c r="A31" s="38" t="s">
        <v>109</v>
      </c>
      <c r="B31" s="39"/>
      <c r="C31" s="39">
        <f>C21-C29-C30</f>
        <v>-1312205.6705384026</v>
      </c>
      <c r="D31" s="37"/>
    </row>
    <row r="32" spans="1:4" ht="23.4" hidden="1" thickBot="1" x14ac:dyDescent="0.45">
      <c r="A32" s="40"/>
      <c r="B32" s="41"/>
      <c r="C32" s="41">
        <v>292</v>
      </c>
      <c r="D32" s="42">
        <v>310</v>
      </c>
    </row>
    <row r="33" spans="1:4" ht="35.4" hidden="1" customHeight="1" x14ac:dyDescent="0.35">
      <c r="A33" s="394" t="s">
        <v>115</v>
      </c>
      <c r="B33" s="394"/>
      <c r="C33" s="394"/>
      <c r="D33" s="394"/>
    </row>
    <row r="34" spans="1:4" hidden="1" x14ac:dyDescent="0.3"/>
    <row r="35" spans="1:4" hidden="1" x14ac:dyDescent="0.3"/>
    <row r="36" spans="1:4" hidden="1" x14ac:dyDescent="0.3"/>
    <row r="37" spans="1:4" hidden="1" x14ac:dyDescent="0.3"/>
    <row r="38" spans="1:4" hidden="1" x14ac:dyDescent="0.3"/>
    <row r="39" spans="1:4" ht="15" thickBot="1" x14ac:dyDescent="0.35"/>
    <row r="40" spans="1:4" ht="22.8" x14ac:dyDescent="0.4">
      <c r="A40" s="396" t="s">
        <v>429</v>
      </c>
      <c r="B40" s="397"/>
      <c r="C40" s="397"/>
      <c r="D40" s="398"/>
    </row>
    <row r="41" spans="1:4" ht="22.8" x14ac:dyDescent="0.4">
      <c r="A41" s="19"/>
      <c r="B41" s="202">
        <v>2023</v>
      </c>
      <c r="C41" s="202">
        <v>2024</v>
      </c>
      <c r="D41" s="21">
        <v>2025</v>
      </c>
    </row>
    <row r="42" spans="1:4" ht="23.4" thickBot="1" x14ac:dyDescent="0.45">
      <c r="A42" s="40" t="s">
        <v>270</v>
      </c>
      <c r="B42" s="200">
        <v>897000</v>
      </c>
      <c r="C42" s="200">
        <f>960000</f>
        <v>960000</v>
      </c>
      <c r="D42" s="201">
        <f>C42*1.06</f>
        <v>1017600</v>
      </c>
    </row>
  </sheetData>
  <mergeCells count="3">
    <mergeCell ref="A33:D33"/>
    <mergeCell ref="A1:D1"/>
    <mergeCell ref="A40:D40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50A1-2A73-49FB-B030-686B4913D47D}">
  <dimension ref="A1:V89"/>
  <sheetViews>
    <sheetView workbookViewId="0">
      <selection activeCell="D75" sqref="D75"/>
    </sheetView>
  </sheetViews>
  <sheetFormatPr defaultRowHeight="14.4" x14ac:dyDescent="0.3"/>
  <cols>
    <col min="1" max="1" width="8" customWidth="1"/>
    <col min="2" max="2" width="30" customWidth="1"/>
    <col min="3" max="3" width="5" customWidth="1"/>
    <col min="4" max="4" width="30" customWidth="1"/>
    <col min="5" max="8" width="16" customWidth="1"/>
    <col min="9" max="9" width="17" customWidth="1"/>
    <col min="13" max="13" width="12.109375" customWidth="1"/>
    <col min="14" max="14" width="12.44140625" customWidth="1"/>
    <col min="15" max="15" width="13" customWidth="1"/>
    <col min="17" max="17" width="13" customWidth="1"/>
    <col min="18" max="18" width="13.44140625" customWidth="1"/>
  </cols>
  <sheetData>
    <row r="1" spans="1:18" x14ac:dyDescent="0.3">
      <c r="A1" s="393">
        <v>2023</v>
      </c>
      <c r="B1" s="393"/>
      <c r="C1" s="393"/>
      <c r="D1" s="393"/>
      <c r="E1" s="393"/>
      <c r="F1" s="393"/>
      <c r="G1" s="393"/>
      <c r="H1" s="393"/>
      <c r="I1" s="393"/>
      <c r="M1" s="7" t="s">
        <v>83</v>
      </c>
      <c r="N1">
        <v>2024</v>
      </c>
      <c r="Q1">
        <v>2023</v>
      </c>
    </row>
    <row r="2" spans="1:18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</row>
    <row r="3" spans="1:18" x14ac:dyDescent="0.3">
      <c r="A3">
        <v>599000</v>
      </c>
      <c r="B3" t="s">
        <v>9</v>
      </c>
      <c r="C3">
        <v>300</v>
      </c>
      <c r="D3" t="s">
        <v>10</v>
      </c>
      <c r="E3" t="s">
        <v>89</v>
      </c>
      <c r="F3">
        <v>0</v>
      </c>
      <c r="G3">
        <v>-1728626.14</v>
      </c>
      <c r="H3">
        <v>0</v>
      </c>
      <c r="I3">
        <v>-1728626.14</v>
      </c>
      <c r="K3" s="2">
        <v>690</v>
      </c>
      <c r="L3" s="3" t="s">
        <v>29</v>
      </c>
      <c r="M3" s="4">
        <v>0</v>
      </c>
      <c r="N3" s="4">
        <v>4801229.8499999996</v>
      </c>
      <c r="O3" s="4">
        <v>4801229.8499999996</v>
      </c>
      <c r="P3" s="4">
        <v>0</v>
      </c>
      <c r="Q3" s="4">
        <v>5631947.1399999997</v>
      </c>
      <c r="R3" s="4">
        <v>5631947.1399999997</v>
      </c>
    </row>
    <row r="4" spans="1:18" x14ac:dyDescent="0.3">
      <c r="A4">
        <v>599000</v>
      </c>
      <c r="B4" t="s">
        <v>9</v>
      </c>
      <c r="C4">
        <v>310</v>
      </c>
      <c r="D4" t="s">
        <v>11</v>
      </c>
      <c r="E4" t="s">
        <v>90</v>
      </c>
      <c r="F4">
        <v>0</v>
      </c>
      <c r="G4">
        <v>-3339345.73</v>
      </c>
      <c r="H4">
        <v>0</v>
      </c>
      <c r="I4">
        <v>-3339345.73</v>
      </c>
      <c r="K4" s="2">
        <v>700</v>
      </c>
      <c r="L4" s="3" t="s">
        <v>30</v>
      </c>
      <c r="M4" s="4">
        <v>0</v>
      </c>
      <c r="N4" s="4">
        <v>5244947.74</v>
      </c>
      <c r="O4" s="4">
        <v>5244947.74</v>
      </c>
      <c r="P4" s="4">
        <v>0</v>
      </c>
      <c r="Q4" s="4">
        <v>7803754.7300000004</v>
      </c>
      <c r="R4" s="4">
        <v>7803754.7300000004</v>
      </c>
    </row>
    <row r="5" spans="1:18" x14ac:dyDescent="0.3">
      <c r="A5">
        <v>599000</v>
      </c>
      <c r="B5" t="s">
        <v>9</v>
      </c>
      <c r="C5">
        <v>320</v>
      </c>
      <c r="D5" t="s">
        <v>12</v>
      </c>
      <c r="E5" t="s">
        <v>89</v>
      </c>
      <c r="F5">
        <v>0</v>
      </c>
      <c r="G5">
        <v>-1122849.1499999999</v>
      </c>
      <c r="H5">
        <v>0</v>
      </c>
      <c r="I5">
        <v>-1122849.1499999999</v>
      </c>
      <c r="K5" s="2">
        <v>900</v>
      </c>
      <c r="L5" s="3" t="s">
        <v>31</v>
      </c>
      <c r="M5" s="4">
        <v>0</v>
      </c>
      <c r="N5" s="4">
        <v>7142657.2599999998</v>
      </c>
      <c r="O5" s="4">
        <v>7142657.2599999998</v>
      </c>
      <c r="P5" s="4">
        <v>0</v>
      </c>
      <c r="Q5" s="4">
        <v>7806272.6900000004</v>
      </c>
      <c r="R5" s="4">
        <v>7806272.6900000004</v>
      </c>
    </row>
    <row r="6" spans="1:18" x14ac:dyDescent="0.3">
      <c r="A6">
        <v>599000</v>
      </c>
      <c r="B6" t="s">
        <v>9</v>
      </c>
      <c r="C6">
        <v>330</v>
      </c>
      <c r="D6" t="s">
        <v>13</v>
      </c>
      <c r="E6" t="s">
        <v>91</v>
      </c>
      <c r="F6">
        <v>0</v>
      </c>
      <c r="G6">
        <v>-1285356.6299999999</v>
      </c>
      <c r="H6">
        <v>0</v>
      </c>
      <c r="I6">
        <v>-1285356.6299999999</v>
      </c>
      <c r="K6" s="2">
        <v>901</v>
      </c>
      <c r="L6" s="3" t="s">
        <v>32</v>
      </c>
      <c r="M6" s="4">
        <v>0</v>
      </c>
      <c r="N6" s="4">
        <v>18788.849999999999</v>
      </c>
      <c r="O6" s="4">
        <v>18788.849999999999</v>
      </c>
      <c r="P6" s="4">
        <v>0</v>
      </c>
      <c r="Q6" s="4">
        <v>82684.789999999994</v>
      </c>
      <c r="R6" s="4">
        <v>82684.789999999994</v>
      </c>
    </row>
    <row r="7" spans="1:18" x14ac:dyDescent="0.3">
      <c r="A7">
        <v>599000</v>
      </c>
      <c r="B7" t="s">
        <v>9</v>
      </c>
      <c r="C7">
        <v>340</v>
      </c>
      <c r="D7" t="s">
        <v>14</v>
      </c>
      <c r="E7" t="s">
        <v>90</v>
      </c>
      <c r="F7">
        <v>0</v>
      </c>
      <c r="G7">
        <v>-17563.29</v>
      </c>
      <c r="H7">
        <v>0</v>
      </c>
      <c r="I7">
        <v>-17563.29</v>
      </c>
      <c r="K7" s="2">
        <v>902</v>
      </c>
      <c r="L7" s="3" t="s">
        <v>33</v>
      </c>
      <c r="M7" s="4">
        <v>0</v>
      </c>
      <c r="N7" s="4">
        <v>90690.76</v>
      </c>
      <c r="O7" s="4">
        <v>90690.76</v>
      </c>
      <c r="P7" s="4">
        <v>0</v>
      </c>
      <c r="Q7" s="4">
        <v>120255.32</v>
      </c>
      <c r="R7" s="4">
        <v>120255.32</v>
      </c>
    </row>
    <row r="8" spans="1:18" x14ac:dyDescent="0.3">
      <c r="A8">
        <v>599000</v>
      </c>
      <c r="B8" t="s">
        <v>9</v>
      </c>
      <c r="C8">
        <v>350</v>
      </c>
      <c r="D8" t="s">
        <v>15</v>
      </c>
      <c r="E8" t="s">
        <v>92</v>
      </c>
      <c r="F8">
        <v>0</v>
      </c>
      <c r="G8">
        <v>-2209697.5699999998</v>
      </c>
      <c r="H8">
        <v>0</v>
      </c>
      <c r="I8">
        <v>-2209697.5699999998</v>
      </c>
      <c r="K8" s="2">
        <v>920</v>
      </c>
      <c r="L8" s="3" t="s">
        <v>34</v>
      </c>
      <c r="M8" s="4">
        <v>0</v>
      </c>
      <c r="N8" s="4">
        <v>23442.3</v>
      </c>
      <c r="O8" s="4">
        <v>23442.3</v>
      </c>
      <c r="P8" s="4">
        <v>0</v>
      </c>
      <c r="Q8" s="4">
        <v>51433.81</v>
      </c>
      <c r="R8" s="4">
        <v>51433.81</v>
      </c>
    </row>
    <row r="9" spans="1:18" x14ac:dyDescent="0.3">
      <c r="A9">
        <v>599000</v>
      </c>
      <c r="B9" t="s">
        <v>9</v>
      </c>
      <c r="C9">
        <v>360</v>
      </c>
      <c r="D9" t="s">
        <v>16</v>
      </c>
      <c r="E9" t="s">
        <v>90</v>
      </c>
      <c r="F9">
        <v>0</v>
      </c>
      <c r="G9">
        <v>-2910005.87</v>
      </c>
      <c r="H9">
        <v>0</v>
      </c>
      <c r="I9">
        <v>-2910005.87</v>
      </c>
      <c r="K9" s="2">
        <v>930</v>
      </c>
      <c r="L9" s="3" t="s">
        <v>35</v>
      </c>
      <c r="M9" s="4">
        <v>0</v>
      </c>
      <c r="N9" s="4">
        <v>54899.29</v>
      </c>
      <c r="O9" s="4">
        <v>54899.29</v>
      </c>
      <c r="P9" s="4">
        <v>0</v>
      </c>
      <c r="Q9" s="4">
        <v>222714.83</v>
      </c>
      <c r="R9" s="4">
        <v>222714.83</v>
      </c>
    </row>
    <row r="10" spans="1:18" x14ac:dyDescent="0.3">
      <c r="A10">
        <v>599000</v>
      </c>
      <c r="B10" t="s">
        <v>9</v>
      </c>
      <c r="C10">
        <v>370</v>
      </c>
      <c r="D10" t="s">
        <v>17</v>
      </c>
      <c r="E10" t="s">
        <v>89</v>
      </c>
      <c r="F10">
        <v>0</v>
      </c>
      <c r="G10">
        <v>-2320583.2400000002</v>
      </c>
      <c r="H10">
        <v>0</v>
      </c>
      <c r="I10">
        <v>-2320583.2400000002</v>
      </c>
      <c r="K10" s="2">
        <v>950</v>
      </c>
      <c r="L10" s="3" t="s">
        <v>36</v>
      </c>
      <c r="M10" s="4">
        <v>0</v>
      </c>
      <c r="N10" s="4">
        <v>150046.35</v>
      </c>
      <c r="O10" s="4">
        <v>150046.35</v>
      </c>
      <c r="P10" s="4">
        <v>0</v>
      </c>
      <c r="Q10" s="4">
        <v>181533.74</v>
      </c>
      <c r="R10" s="4">
        <v>181533.74</v>
      </c>
    </row>
    <row r="11" spans="1:18" x14ac:dyDescent="0.3">
      <c r="A11">
        <v>599000</v>
      </c>
      <c r="B11" t="s">
        <v>9</v>
      </c>
      <c r="C11">
        <v>375</v>
      </c>
      <c r="D11" t="s">
        <v>18</v>
      </c>
      <c r="E11">
        <v>0</v>
      </c>
      <c r="F11">
        <v>0</v>
      </c>
      <c r="G11">
        <v>-32291.119999999999</v>
      </c>
      <c r="H11">
        <v>0</v>
      </c>
      <c r="I11">
        <v>-32291.119999999999</v>
      </c>
      <c r="K11" s="2">
        <v>960</v>
      </c>
      <c r="L11" s="3" t="s">
        <v>37</v>
      </c>
      <c r="M11" s="4">
        <v>0</v>
      </c>
      <c r="N11" s="4">
        <v>175904.08</v>
      </c>
      <c r="O11" s="4">
        <v>175904.08</v>
      </c>
      <c r="P11" s="4">
        <v>0</v>
      </c>
      <c r="Q11" s="4">
        <v>654627.34</v>
      </c>
      <c r="R11" s="4">
        <v>654627.34</v>
      </c>
    </row>
    <row r="12" spans="1:18" x14ac:dyDescent="0.3">
      <c r="A12">
        <v>599000</v>
      </c>
      <c r="B12" t="s">
        <v>9</v>
      </c>
      <c r="C12">
        <v>380</v>
      </c>
      <c r="D12" t="s">
        <v>19</v>
      </c>
      <c r="E12" t="s">
        <v>90</v>
      </c>
      <c r="F12">
        <v>0</v>
      </c>
      <c r="G12">
        <v>-2061139.58</v>
      </c>
      <c r="H12">
        <v>0</v>
      </c>
      <c r="I12">
        <v>-2061139.58</v>
      </c>
      <c r="N12" s="6">
        <f>SUM(N3:N11)</f>
        <v>17702606.480000004</v>
      </c>
      <c r="O12" s="6">
        <f t="shared" ref="O12:R12" si="0">SUM(O3:O11)</f>
        <v>17702606.480000004</v>
      </c>
      <c r="P12" s="6">
        <f t="shared" si="0"/>
        <v>0</v>
      </c>
      <c r="Q12" s="6">
        <f t="shared" si="0"/>
        <v>22555224.389999997</v>
      </c>
      <c r="R12" s="6">
        <f t="shared" si="0"/>
        <v>22555224.389999997</v>
      </c>
    </row>
    <row r="13" spans="1:18" x14ac:dyDescent="0.3">
      <c r="A13">
        <v>599000</v>
      </c>
      <c r="B13" t="s">
        <v>9</v>
      </c>
      <c r="C13">
        <v>390</v>
      </c>
      <c r="D13" t="s">
        <v>20</v>
      </c>
      <c r="E13" t="s">
        <v>89</v>
      </c>
      <c r="F13">
        <v>0</v>
      </c>
      <c r="G13">
        <v>-3025847.05</v>
      </c>
      <c r="H13">
        <v>0</v>
      </c>
      <c r="I13">
        <v>-3025847.05</v>
      </c>
    </row>
    <row r="14" spans="1:18" x14ac:dyDescent="0.3">
      <c r="G14">
        <f>-SUM(G3:G13)</f>
        <v>20053305.370000001</v>
      </c>
      <c r="I14">
        <f t="shared" ref="I14" si="1">-SUM(I3:I13)</f>
        <v>20053305.370000001</v>
      </c>
    </row>
    <row r="16" spans="1:18" x14ac:dyDescent="0.3">
      <c r="D16">
        <v>2024</v>
      </c>
      <c r="G16">
        <v>2023</v>
      </c>
    </row>
    <row r="17" spans="1:22" x14ac:dyDescent="0.3">
      <c r="A17" s="1" t="s">
        <v>21</v>
      </c>
      <c r="B17" s="1" t="s">
        <v>22</v>
      </c>
      <c r="C17" s="1" t="s">
        <v>23</v>
      </c>
      <c r="D17" s="1" t="s">
        <v>24</v>
      </c>
      <c r="E17" s="1" t="s">
        <v>25</v>
      </c>
      <c r="F17" s="1" t="s">
        <v>26</v>
      </c>
      <c r="G17" s="1" t="s">
        <v>27</v>
      </c>
      <c r="H17" s="1" t="s">
        <v>28</v>
      </c>
      <c r="K17" s="1" t="s">
        <v>21</v>
      </c>
      <c r="L17" s="1" t="s">
        <v>22</v>
      </c>
      <c r="M17" s="1" t="s">
        <v>38</v>
      </c>
      <c r="N17" s="1" t="s">
        <v>39</v>
      </c>
      <c r="O17" s="1" t="s">
        <v>40</v>
      </c>
      <c r="P17" s="1" t="s">
        <v>41</v>
      </c>
      <c r="Q17" s="1" t="s">
        <v>23</v>
      </c>
      <c r="R17" s="1" t="s">
        <v>24</v>
      </c>
      <c r="S17" s="1" t="s">
        <v>25</v>
      </c>
      <c r="T17" s="1" t="s">
        <v>26</v>
      </c>
      <c r="U17" s="1" t="s">
        <v>27</v>
      </c>
      <c r="V17" s="1" t="s">
        <v>28</v>
      </c>
    </row>
    <row r="18" spans="1:22" x14ac:dyDescent="0.3">
      <c r="A18" s="2">
        <v>0</v>
      </c>
      <c r="B18" s="3" t="s">
        <v>58</v>
      </c>
      <c r="C18" s="4">
        <v>0</v>
      </c>
      <c r="D18" s="4">
        <v>239.31</v>
      </c>
      <c r="E18" s="4">
        <v>239.31</v>
      </c>
      <c r="F18" s="4">
        <v>0</v>
      </c>
      <c r="G18" s="4">
        <v>0</v>
      </c>
      <c r="H18" s="4">
        <v>0</v>
      </c>
      <c r="K18" s="2">
        <v>300</v>
      </c>
      <c r="L18" s="3">
        <v>300</v>
      </c>
      <c r="M18" s="2">
        <v>5</v>
      </c>
      <c r="N18" s="2">
        <v>501</v>
      </c>
      <c r="O18" s="5">
        <v>501010</v>
      </c>
      <c r="P18" s="3" t="s">
        <v>42</v>
      </c>
      <c r="Q18" s="4">
        <v>0</v>
      </c>
      <c r="R18" s="4">
        <v>11791.86</v>
      </c>
      <c r="S18" s="4">
        <v>11791.86</v>
      </c>
      <c r="T18" s="4">
        <v>0</v>
      </c>
      <c r="U18" s="4">
        <v>14999.44</v>
      </c>
      <c r="V18" s="4">
        <v>14999.44</v>
      </c>
    </row>
    <row r="19" spans="1:22" x14ac:dyDescent="0.3">
      <c r="A19" s="2">
        <v>110</v>
      </c>
      <c r="B19" s="3" t="s">
        <v>59</v>
      </c>
      <c r="C19" s="4">
        <v>0</v>
      </c>
      <c r="D19" s="4">
        <v>5442724.1699999999</v>
      </c>
      <c r="E19" s="4">
        <v>5442724.1699999999</v>
      </c>
      <c r="F19" s="4">
        <v>0</v>
      </c>
      <c r="G19" s="4">
        <v>6911406</v>
      </c>
      <c r="H19" s="4">
        <v>6911406</v>
      </c>
      <c r="K19" s="2">
        <v>300</v>
      </c>
      <c r="L19" s="3">
        <v>300</v>
      </c>
      <c r="M19" s="2">
        <v>5</v>
      </c>
      <c r="N19" s="2">
        <v>501</v>
      </c>
      <c r="O19" s="5">
        <v>501020</v>
      </c>
      <c r="P19" s="3" t="s">
        <v>43</v>
      </c>
      <c r="Q19" s="4">
        <v>0</v>
      </c>
      <c r="R19" s="4">
        <v>319534.03000000003</v>
      </c>
      <c r="S19" s="4">
        <v>319534.03000000003</v>
      </c>
      <c r="T19" s="4">
        <v>0</v>
      </c>
      <c r="U19" s="4">
        <v>439965.78</v>
      </c>
      <c r="V19" s="4">
        <v>439965.78</v>
      </c>
    </row>
    <row r="20" spans="1:22" x14ac:dyDescent="0.3">
      <c r="A20" s="2">
        <v>120</v>
      </c>
      <c r="B20" s="3" t="s">
        <v>60</v>
      </c>
      <c r="C20" s="4">
        <v>0</v>
      </c>
      <c r="D20" s="4">
        <v>23108.65</v>
      </c>
      <c r="E20" s="4">
        <v>23108.65</v>
      </c>
      <c r="F20" s="4">
        <v>0</v>
      </c>
      <c r="G20" s="4">
        <v>63830.02</v>
      </c>
      <c r="H20" s="4">
        <v>63830.02</v>
      </c>
      <c r="K20" s="2">
        <v>300</v>
      </c>
      <c r="L20" s="3">
        <v>300</v>
      </c>
      <c r="M20" s="2">
        <v>5</v>
      </c>
      <c r="N20" s="2">
        <v>501</v>
      </c>
      <c r="O20" s="5">
        <v>501080</v>
      </c>
      <c r="P20" s="3" t="s">
        <v>44</v>
      </c>
      <c r="Q20" s="4">
        <v>0</v>
      </c>
      <c r="R20" s="4">
        <v>3159.55</v>
      </c>
      <c r="S20" s="4">
        <v>3159.55</v>
      </c>
      <c r="T20" s="4">
        <v>0</v>
      </c>
      <c r="U20" s="4">
        <v>5785.96</v>
      </c>
      <c r="V20" s="4">
        <v>5785.96</v>
      </c>
    </row>
    <row r="21" spans="1:22" x14ac:dyDescent="0.3">
      <c r="A21" s="2">
        <v>130</v>
      </c>
      <c r="B21" s="3" t="s">
        <v>61</v>
      </c>
      <c r="C21" s="4">
        <v>0</v>
      </c>
      <c r="D21" s="4">
        <v>54579.69</v>
      </c>
      <c r="E21" s="4">
        <v>54579.69</v>
      </c>
      <c r="F21" s="4">
        <v>0</v>
      </c>
      <c r="G21" s="4">
        <v>5891752.6900000004</v>
      </c>
      <c r="H21" s="4">
        <v>5891752.6900000004</v>
      </c>
      <c r="K21" s="2">
        <v>300</v>
      </c>
      <c r="L21" s="3">
        <v>300</v>
      </c>
      <c r="M21" s="2">
        <v>5</v>
      </c>
      <c r="N21" s="2">
        <v>511</v>
      </c>
      <c r="O21" s="5">
        <v>511000</v>
      </c>
      <c r="P21" s="3" t="s">
        <v>45</v>
      </c>
      <c r="Q21" s="4">
        <v>0</v>
      </c>
      <c r="R21" s="4">
        <v>176245.72</v>
      </c>
      <c r="S21" s="4">
        <v>176245.72</v>
      </c>
      <c r="T21" s="4">
        <v>0</v>
      </c>
      <c r="U21" s="4">
        <v>146796.04</v>
      </c>
      <c r="V21" s="4">
        <v>146796.04</v>
      </c>
    </row>
    <row r="22" spans="1:22" x14ac:dyDescent="0.3">
      <c r="A22" s="2">
        <v>200</v>
      </c>
      <c r="B22" s="3" t="s">
        <v>62</v>
      </c>
      <c r="C22" s="4">
        <v>0</v>
      </c>
      <c r="D22" s="4">
        <v>243163</v>
      </c>
      <c r="E22" s="4">
        <v>243163</v>
      </c>
      <c r="F22" s="4">
        <v>0</v>
      </c>
      <c r="G22" s="4">
        <v>416110.81</v>
      </c>
      <c r="H22" s="4">
        <v>416110.81</v>
      </c>
      <c r="K22" s="2">
        <v>300</v>
      </c>
      <c r="L22" s="3">
        <v>300</v>
      </c>
      <c r="M22" s="2">
        <v>5</v>
      </c>
      <c r="N22" s="2">
        <v>512</v>
      </c>
      <c r="O22" s="5">
        <v>512100</v>
      </c>
      <c r="P22" s="3" t="s">
        <v>46</v>
      </c>
      <c r="Q22" s="4">
        <v>0</v>
      </c>
      <c r="R22" s="4">
        <v>15960</v>
      </c>
      <c r="S22" s="4">
        <v>15960</v>
      </c>
      <c r="T22" s="4">
        <v>0</v>
      </c>
      <c r="U22" s="4">
        <v>26058</v>
      </c>
      <c r="V22" s="4">
        <v>26058</v>
      </c>
    </row>
    <row r="23" spans="1:22" x14ac:dyDescent="0.3">
      <c r="A23" s="2">
        <v>300</v>
      </c>
      <c r="B23" s="3">
        <v>300</v>
      </c>
      <c r="C23" s="4">
        <v>0</v>
      </c>
      <c r="D23" s="4">
        <v>1377680.99</v>
      </c>
      <c r="E23" s="4">
        <v>1377680.99</v>
      </c>
      <c r="F23" s="4">
        <v>0</v>
      </c>
      <c r="G23" s="4">
        <v>0</v>
      </c>
      <c r="H23" s="4">
        <v>0</v>
      </c>
      <c r="K23" s="2">
        <v>300</v>
      </c>
      <c r="L23" s="3">
        <v>300</v>
      </c>
      <c r="M23" s="2">
        <v>5</v>
      </c>
      <c r="N23" s="2">
        <v>518</v>
      </c>
      <c r="O23" s="5">
        <v>518030</v>
      </c>
      <c r="P23" s="3" t="s">
        <v>47</v>
      </c>
      <c r="Q23" s="4">
        <v>0</v>
      </c>
      <c r="R23" s="4">
        <v>1352.03</v>
      </c>
      <c r="S23" s="4">
        <v>1352.03</v>
      </c>
      <c r="T23" s="4">
        <v>0</v>
      </c>
      <c r="U23" s="4">
        <v>1390.92</v>
      </c>
      <c r="V23" s="4">
        <v>1390.92</v>
      </c>
    </row>
    <row r="24" spans="1:22" x14ac:dyDescent="0.3">
      <c r="A24" s="2">
        <v>310</v>
      </c>
      <c r="B24" s="3">
        <v>310</v>
      </c>
      <c r="C24" s="4">
        <v>0</v>
      </c>
      <c r="D24" s="4">
        <v>2541442.85</v>
      </c>
      <c r="E24" s="4">
        <v>2541442.85</v>
      </c>
      <c r="F24" s="4">
        <v>0</v>
      </c>
      <c r="G24" s="4">
        <v>0</v>
      </c>
      <c r="H24" s="4">
        <v>0</v>
      </c>
      <c r="K24" s="2">
        <v>300</v>
      </c>
      <c r="L24" s="3">
        <v>300</v>
      </c>
      <c r="M24" s="2">
        <v>5</v>
      </c>
      <c r="N24" s="2">
        <v>518</v>
      </c>
      <c r="O24" s="5">
        <v>518040</v>
      </c>
      <c r="P24" s="3" t="s">
        <v>48</v>
      </c>
      <c r="Q24" s="4">
        <v>0</v>
      </c>
      <c r="R24" s="4">
        <v>3718</v>
      </c>
      <c r="S24" s="4">
        <v>3718</v>
      </c>
      <c r="T24" s="4">
        <v>0</v>
      </c>
      <c r="U24" s="4">
        <v>0</v>
      </c>
      <c r="V24" s="4">
        <v>0</v>
      </c>
    </row>
    <row r="25" spans="1:22" x14ac:dyDescent="0.3">
      <c r="A25" s="2">
        <v>320</v>
      </c>
      <c r="B25" s="3">
        <v>320</v>
      </c>
      <c r="C25" s="4">
        <v>0</v>
      </c>
      <c r="D25" s="4">
        <v>1204271.43</v>
      </c>
      <c r="E25" s="4">
        <v>1204271.43</v>
      </c>
      <c r="F25" s="4">
        <v>0</v>
      </c>
      <c r="G25" s="4">
        <v>0</v>
      </c>
      <c r="H25" s="4">
        <v>0</v>
      </c>
      <c r="K25" s="2">
        <v>300</v>
      </c>
      <c r="L25" s="3">
        <v>300</v>
      </c>
      <c r="M25" s="2">
        <v>5</v>
      </c>
      <c r="N25" s="2">
        <v>518</v>
      </c>
      <c r="O25" s="5">
        <v>518085</v>
      </c>
      <c r="P25" s="3" t="s">
        <v>49</v>
      </c>
      <c r="Q25" s="4">
        <v>0</v>
      </c>
      <c r="R25" s="4">
        <v>19727.8</v>
      </c>
      <c r="S25" s="4">
        <v>19727.8</v>
      </c>
      <c r="T25" s="4">
        <v>0</v>
      </c>
      <c r="U25" s="4">
        <v>7429.7</v>
      </c>
      <c r="V25" s="4">
        <v>7429.7</v>
      </c>
    </row>
    <row r="26" spans="1:22" x14ac:dyDescent="0.3">
      <c r="A26" s="2">
        <v>330</v>
      </c>
      <c r="B26" s="3">
        <v>330</v>
      </c>
      <c r="C26" s="4">
        <v>0</v>
      </c>
      <c r="D26" s="4">
        <v>708164.39</v>
      </c>
      <c r="E26" s="4">
        <v>708164.39</v>
      </c>
      <c r="F26" s="4">
        <v>0</v>
      </c>
      <c r="G26" s="4">
        <v>0</v>
      </c>
      <c r="H26" s="4">
        <v>0</v>
      </c>
      <c r="K26" s="2">
        <v>300</v>
      </c>
      <c r="L26" s="3">
        <v>300</v>
      </c>
      <c r="M26" s="2">
        <v>5</v>
      </c>
      <c r="N26" s="2">
        <v>521</v>
      </c>
      <c r="O26" s="5">
        <v>521000</v>
      </c>
      <c r="P26" s="3" t="s">
        <v>50</v>
      </c>
      <c r="Q26" s="4">
        <v>0</v>
      </c>
      <c r="R26" s="4">
        <v>272769</v>
      </c>
      <c r="S26" s="4">
        <v>272769</v>
      </c>
      <c r="T26" s="4">
        <v>0</v>
      </c>
      <c r="U26" s="4">
        <v>341997</v>
      </c>
      <c r="V26" s="4">
        <v>341997</v>
      </c>
    </row>
    <row r="27" spans="1:22" x14ac:dyDescent="0.3">
      <c r="A27" s="2">
        <v>340</v>
      </c>
      <c r="B27" s="3">
        <v>340</v>
      </c>
      <c r="C27" s="4">
        <v>0</v>
      </c>
      <c r="D27" s="4">
        <v>853990.91</v>
      </c>
      <c r="E27" s="4">
        <v>853990.91</v>
      </c>
      <c r="F27" s="4">
        <v>0</v>
      </c>
      <c r="G27" s="4">
        <v>-8450</v>
      </c>
      <c r="H27" s="4">
        <v>-8450</v>
      </c>
      <c r="K27" s="2">
        <v>300</v>
      </c>
      <c r="L27" s="3">
        <v>300</v>
      </c>
      <c r="M27" s="2">
        <v>5</v>
      </c>
      <c r="N27" s="2">
        <v>521</v>
      </c>
      <c r="O27" s="5">
        <v>521100</v>
      </c>
      <c r="P27" s="3" t="s">
        <v>51</v>
      </c>
      <c r="Q27" s="4">
        <v>0</v>
      </c>
      <c r="R27" s="4">
        <v>15806</v>
      </c>
      <c r="S27" s="4">
        <v>15806</v>
      </c>
      <c r="T27" s="4">
        <v>0</v>
      </c>
      <c r="U27" s="4">
        <v>7863</v>
      </c>
      <c r="V27" s="4">
        <v>7863</v>
      </c>
    </row>
    <row r="28" spans="1:22" x14ac:dyDescent="0.3">
      <c r="A28" s="2">
        <v>350</v>
      </c>
      <c r="B28" s="3">
        <v>350</v>
      </c>
      <c r="C28" s="4">
        <v>0</v>
      </c>
      <c r="D28" s="4">
        <v>1441226.99</v>
      </c>
      <c r="E28" s="4">
        <v>1441226.99</v>
      </c>
      <c r="F28" s="4">
        <v>0</v>
      </c>
      <c r="G28" s="4">
        <v>0</v>
      </c>
      <c r="H28" s="4">
        <v>0</v>
      </c>
      <c r="K28" s="2">
        <v>300</v>
      </c>
      <c r="L28" s="3">
        <v>300</v>
      </c>
      <c r="M28" s="2">
        <v>5</v>
      </c>
      <c r="N28" s="2">
        <v>524</v>
      </c>
      <c r="O28" s="5">
        <v>524000</v>
      </c>
      <c r="P28" s="3" t="s">
        <v>52</v>
      </c>
      <c r="Q28" s="4">
        <v>0</v>
      </c>
      <c r="R28" s="4">
        <v>95450</v>
      </c>
      <c r="S28" s="4">
        <v>95450</v>
      </c>
      <c r="T28" s="4">
        <v>0</v>
      </c>
      <c r="U28" s="4">
        <v>124885</v>
      </c>
      <c r="V28" s="4">
        <v>124885</v>
      </c>
    </row>
    <row r="29" spans="1:22" x14ac:dyDescent="0.3">
      <c r="A29" s="2">
        <v>360</v>
      </c>
      <c r="B29" s="3">
        <v>360</v>
      </c>
      <c r="C29" s="4">
        <v>0</v>
      </c>
      <c r="D29" s="4">
        <v>2075070.01</v>
      </c>
      <c r="E29" s="4">
        <v>2075070.01</v>
      </c>
      <c r="F29" s="4">
        <v>0</v>
      </c>
      <c r="G29" s="4">
        <v>0</v>
      </c>
      <c r="H29" s="4">
        <v>0</v>
      </c>
      <c r="K29" s="2">
        <v>300</v>
      </c>
      <c r="L29" s="3">
        <v>300</v>
      </c>
      <c r="M29" s="2">
        <v>5</v>
      </c>
      <c r="N29" s="2">
        <v>527</v>
      </c>
      <c r="O29" s="5">
        <v>527000</v>
      </c>
      <c r="P29" s="3" t="s">
        <v>53</v>
      </c>
      <c r="Q29" s="4">
        <v>0</v>
      </c>
      <c r="R29" s="4">
        <v>8864</v>
      </c>
      <c r="S29" s="4">
        <v>8864</v>
      </c>
      <c r="T29" s="4">
        <v>0</v>
      </c>
      <c r="U29" s="4">
        <v>27472</v>
      </c>
      <c r="V29" s="4">
        <v>27472</v>
      </c>
    </row>
    <row r="30" spans="1:22" x14ac:dyDescent="0.3">
      <c r="A30" s="2">
        <v>370</v>
      </c>
      <c r="B30" s="3">
        <v>370</v>
      </c>
      <c r="C30" s="4">
        <v>0</v>
      </c>
      <c r="D30" s="4">
        <v>1580471.47</v>
      </c>
      <c r="E30" s="4">
        <v>1580471.47</v>
      </c>
      <c r="F30" s="4">
        <v>0</v>
      </c>
      <c r="G30" s="4">
        <v>0</v>
      </c>
      <c r="H30" s="4">
        <v>0</v>
      </c>
      <c r="K30" s="2">
        <v>300</v>
      </c>
      <c r="L30" s="3">
        <v>300</v>
      </c>
      <c r="M30" s="2">
        <v>5</v>
      </c>
      <c r="N30" s="2">
        <v>538</v>
      </c>
      <c r="O30" s="5">
        <v>538080</v>
      </c>
      <c r="P30" s="3" t="s">
        <v>54</v>
      </c>
      <c r="Q30" s="4">
        <v>0</v>
      </c>
      <c r="R30" s="4">
        <v>5315</v>
      </c>
      <c r="S30" s="4">
        <v>5315</v>
      </c>
      <c r="T30" s="4">
        <v>0</v>
      </c>
      <c r="U30" s="4">
        <v>8209.2999999999993</v>
      </c>
      <c r="V30" s="4">
        <v>8209.2999999999993</v>
      </c>
    </row>
    <row r="31" spans="1:22" x14ac:dyDescent="0.3">
      <c r="A31" s="2">
        <v>375</v>
      </c>
      <c r="B31" s="3">
        <v>375</v>
      </c>
      <c r="C31" s="4">
        <v>0</v>
      </c>
      <c r="D31" s="4">
        <v>3678.64</v>
      </c>
      <c r="E31" s="4">
        <v>3678.64</v>
      </c>
      <c r="F31" s="4">
        <v>0</v>
      </c>
      <c r="G31" s="4">
        <v>0</v>
      </c>
      <c r="H31" s="4">
        <v>0</v>
      </c>
      <c r="K31" s="2">
        <v>300</v>
      </c>
      <c r="L31" s="3">
        <v>300</v>
      </c>
      <c r="M31" s="2">
        <v>5</v>
      </c>
      <c r="N31" s="2">
        <v>548</v>
      </c>
      <c r="O31" s="5">
        <v>548000</v>
      </c>
      <c r="P31" s="3" t="s">
        <v>55</v>
      </c>
      <c r="Q31" s="4">
        <v>0</v>
      </c>
      <c r="R31" s="4">
        <v>9407</v>
      </c>
      <c r="S31" s="4">
        <v>9407</v>
      </c>
      <c r="T31" s="4">
        <v>0</v>
      </c>
      <c r="U31" s="4">
        <v>17666</v>
      </c>
      <c r="V31" s="4">
        <v>17666</v>
      </c>
    </row>
    <row r="32" spans="1:22" x14ac:dyDescent="0.3">
      <c r="A32" s="2">
        <v>380</v>
      </c>
      <c r="B32" s="3">
        <v>380</v>
      </c>
      <c r="C32" s="4">
        <v>0</v>
      </c>
      <c r="D32" s="4">
        <v>1660741.88</v>
      </c>
      <c r="E32" s="4">
        <v>1660741.88</v>
      </c>
      <c r="F32" s="4">
        <v>0</v>
      </c>
      <c r="G32" s="4">
        <v>0</v>
      </c>
      <c r="H32" s="4">
        <v>0</v>
      </c>
      <c r="K32" s="2">
        <v>300</v>
      </c>
      <c r="L32" s="3">
        <v>300</v>
      </c>
      <c r="M32" s="2">
        <v>5</v>
      </c>
      <c r="N32" s="2">
        <v>551</v>
      </c>
      <c r="O32" s="5">
        <v>551000</v>
      </c>
      <c r="P32" s="3" t="s">
        <v>56</v>
      </c>
      <c r="Q32" s="4">
        <v>0</v>
      </c>
      <c r="R32" s="4">
        <v>418581</v>
      </c>
      <c r="S32" s="4">
        <v>418581</v>
      </c>
      <c r="T32" s="4">
        <v>0</v>
      </c>
      <c r="U32" s="4">
        <v>558108</v>
      </c>
      <c r="V32" s="4">
        <v>558108</v>
      </c>
    </row>
    <row r="33" spans="1:22" x14ac:dyDescent="0.3">
      <c r="A33" s="2">
        <v>390</v>
      </c>
      <c r="B33" s="3">
        <v>390</v>
      </c>
      <c r="C33" s="4">
        <v>0</v>
      </c>
      <c r="D33" s="4">
        <v>2227200.4500000002</v>
      </c>
      <c r="E33" s="4">
        <v>2227200.4500000002</v>
      </c>
      <c r="F33" s="4">
        <v>0</v>
      </c>
      <c r="G33" s="4">
        <v>0</v>
      </c>
      <c r="H33" s="4">
        <v>0</v>
      </c>
      <c r="K33" s="2">
        <v>300</v>
      </c>
      <c r="L33" s="3">
        <v>300</v>
      </c>
      <c r="M33" s="2">
        <v>5</v>
      </c>
      <c r="N33" s="2">
        <v>599</v>
      </c>
      <c r="O33" s="5">
        <v>599000</v>
      </c>
      <c r="P33" s="3" t="s">
        <v>57</v>
      </c>
      <c r="Q33" s="4">
        <v>0</v>
      </c>
      <c r="R33" s="4">
        <v>0</v>
      </c>
      <c r="S33" s="4">
        <v>0</v>
      </c>
      <c r="T33" s="4">
        <v>0</v>
      </c>
      <c r="U33" s="4">
        <v>-1728626.14</v>
      </c>
      <c r="V33" s="4">
        <v>-1728626.14</v>
      </c>
    </row>
    <row r="34" spans="1:22" x14ac:dyDescent="0.3">
      <c r="A34" s="2">
        <v>400</v>
      </c>
      <c r="B34" s="3" t="s">
        <v>63</v>
      </c>
      <c r="C34" s="4">
        <v>0</v>
      </c>
      <c r="D34" s="4">
        <v>47265</v>
      </c>
      <c r="E34" s="4">
        <v>47265</v>
      </c>
      <c r="F34" s="4">
        <v>0</v>
      </c>
      <c r="G34" s="4">
        <v>4729292.72</v>
      </c>
      <c r="H34" s="4">
        <v>4729292.72</v>
      </c>
    </row>
    <row r="35" spans="1:22" x14ac:dyDescent="0.3">
      <c r="A35" s="2">
        <v>410</v>
      </c>
      <c r="B35" s="3" t="s">
        <v>64</v>
      </c>
      <c r="C35" s="4">
        <v>0</v>
      </c>
      <c r="D35" s="4">
        <v>33260</v>
      </c>
      <c r="E35" s="4">
        <v>33260</v>
      </c>
      <c r="F35" s="4">
        <v>0</v>
      </c>
      <c r="G35" s="4">
        <v>6643724.8300000001</v>
      </c>
      <c r="H35" s="4">
        <v>6643724.8300000001</v>
      </c>
    </row>
    <row r="36" spans="1:22" x14ac:dyDescent="0.3">
      <c r="A36" s="2">
        <v>420</v>
      </c>
      <c r="B36" s="3" t="s">
        <v>65</v>
      </c>
      <c r="C36" s="4">
        <v>0</v>
      </c>
      <c r="D36" s="4">
        <v>0</v>
      </c>
      <c r="E36" s="4">
        <v>0</v>
      </c>
      <c r="F36" s="4">
        <v>0</v>
      </c>
      <c r="G36" s="4">
        <v>493507.63</v>
      </c>
      <c r="H36" s="4">
        <v>493507.63</v>
      </c>
    </row>
    <row r="37" spans="1:22" x14ac:dyDescent="0.3">
      <c r="A37" s="2">
        <v>440</v>
      </c>
      <c r="B37" s="3" t="s">
        <v>66</v>
      </c>
      <c r="C37" s="4">
        <v>0</v>
      </c>
      <c r="D37" s="4">
        <v>2995935</v>
      </c>
      <c r="E37" s="4">
        <v>2995935</v>
      </c>
      <c r="F37" s="4">
        <v>0</v>
      </c>
      <c r="G37" s="4">
        <v>1751815.72</v>
      </c>
      <c r="H37" s="4">
        <v>1751815.72</v>
      </c>
    </row>
    <row r="38" spans="1:22" x14ac:dyDescent="0.3">
      <c r="A38" s="2">
        <v>480</v>
      </c>
      <c r="B38" s="3" t="s">
        <v>67</v>
      </c>
      <c r="C38" s="4">
        <v>0</v>
      </c>
      <c r="D38" s="4">
        <v>9056</v>
      </c>
      <c r="E38" s="4">
        <v>9056</v>
      </c>
      <c r="F38" s="4">
        <v>0</v>
      </c>
      <c r="G38" s="4">
        <v>16041</v>
      </c>
      <c r="H38" s="4">
        <v>16041</v>
      </c>
      <c r="L38" t="s">
        <v>80</v>
      </c>
      <c r="M38" t="s">
        <v>81</v>
      </c>
      <c r="P38" t="s">
        <v>82</v>
      </c>
    </row>
    <row r="39" spans="1:22" x14ac:dyDescent="0.3">
      <c r="A39" s="2">
        <v>490</v>
      </c>
      <c r="B39" s="3" t="s">
        <v>68</v>
      </c>
      <c r="C39" s="4">
        <v>0</v>
      </c>
      <c r="D39" s="4">
        <v>15217377.32</v>
      </c>
      <c r="E39" s="4">
        <v>15217377.32</v>
      </c>
      <c r="F39" s="4">
        <v>0</v>
      </c>
      <c r="G39" s="4">
        <v>22401149.899999999</v>
      </c>
      <c r="H39" s="4">
        <v>22401149.899999999</v>
      </c>
      <c r="K39" s="3">
        <v>2023</v>
      </c>
      <c r="P39">
        <v>1408</v>
      </c>
    </row>
    <row r="40" spans="1:22" x14ac:dyDescent="0.3">
      <c r="A40" s="2">
        <v>495</v>
      </c>
      <c r="B40" s="3" t="s">
        <v>69</v>
      </c>
      <c r="C40" s="4">
        <v>0</v>
      </c>
      <c r="D40" s="4">
        <v>504909.08</v>
      </c>
      <c r="E40" s="4">
        <v>504909.08</v>
      </c>
      <c r="F40" s="4">
        <v>0</v>
      </c>
      <c r="G40" s="4">
        <v>0</v>
      </c>
      <c r="H40" s="4">
        <v>0</v>
      </c>
      <c r="K40" s="3">
        <v>2024</v>
      </c>
      <c r="L40" s="4">
        <v>7144</v>
      </c>
      <c r="M40" s="4">
        <v>926</v>
      </c>
      <c r="P40" s="4">
        <v>1853</v>
      </c>
    </row>
    <row r="41" spans="1:22" x14ac:dyDescent="0.3">
      <c r="A41" s="2">
        <v>500</v>
      </c>
      <c r="B41" s="3" t="s">
        <v>70</v>
      </c>
      <c r="C41" s="4">
        <v>0</v>
      </c>
      <c r="D41" s="4">
        <v>5887798.0599999996</v>
      </c>
      <c r="E41" s="4">
        <v>5887798.0599999996</v>
      </c>
      <c r="F41" s="4">
        <v>0</v>
      </c>
      <c r="G41" s="4">
        <v>5559180.9299999997</v>
      </c>
      <c r="H41" s="4">
        <v>5559180.9299999997</v>
      </c>
      <c r="K41" s="3">
        <v>2025</v>
      </c>
      <c r="L41" s="4">
        <v>7573</v>
      </c>
      <c r="M41" s="4">
        <v>982</v>
      </c>
    </row>
    <row r="42" spans="1:22" x14ac:dyDescent="0.3">
      <c r="A42" s="2">
        <v>505</v>
      </c>
      <c r="B42" s="3" t="s">
        <v>71</v>
      </c>
      <c r="C42" s="4">
        <v>0</v>
      </c>
      <c r="D42" s="4">
        <v>641148.52</v>
      </c>
      <c r="E42" s="4">
        <v>641148.52</v>
      </c>
      <c r="F42" s="4">
        <v>0</v>
      </c>
      <c r="G42" s="4">
        <v>0</v>
      </c>
      <c r="H42" s="4">
        <v>0</v>
      </c>
      <c r="K42" s="8"/>
      <c r="L42" s="6">
        <f>L41-L40</f>
        <v>429</v>
      </c>
      <c r="M42" s="6">
        <f>M41-M40</f>
        <v>56</v>
      </c>
      <c r="N42" s="6">
        <f>L42+M42</f>
        <v>485</v>
      </c>
    </row>
    <row r="43" spans="1:22" x14ac:dyDescent="0.3">
      <c r="A43" s="2">
        <v>510</v>
      </c>
      <c r="B43" s="3" t="s">
        <v>72</v>
      </c>
      <c r="C43" s="4">
        <v>0</v>
      </c>
      <c r="D43" s="4">
        <v>779746.29</v>
      </c>
      <c r="E43" s="4">
        <v>779746.29</v>
      </c>
      <c r="F43" s="4">
        <v>0</v>
      </c>
      <c r="G43" s="4">
        <v>2298960.31</v>
      </c>
      <c r="H43" s="4">
        <v>2298960.31</v>
      </c>
    </row>
    <row r="44" spans="1:22" x14ac:dyDescent="0.3">
      <c r="A44" s="2">
        <v>520</v>
      </c>
      <c r="B44" s="3" t="s">
        <v>73</v>
      </c>
      <c r="C44" s="4">
        <v>0</v>
      </c>
      <c r="D44" s="4">
        <v>296939.2</v>
      </c>
      <c r="E44" s="4">
        <v>296939.2</v>
      </c>
      <c r="F44" s="4">
        <v>0</v>
      </c>
      <c r="G44" s="4">
        <v>1370447.02</v>
      </c>
      <c r="H44" s="4">
        <v>1370447.02</v>
      </c>
    </row>
    <row r="45" spans="1:22" x14ac:dyDescent="0.3">
      <c r="A45" s="2">
        <v>540</v>
      </c>
      <c r="B45" s="3" t="s">
        <v>74</v>
      </c>
      <c r="C45" s="4">
        <v>0</v>
      </c>
      <c r="D45" s="4">
        <v>940744.7</v>
      </c>
      <c r="E45" s="4">
        <v>940744.7</v>
      </c>
      <c r="F45" s="4">
        <v>0</v>
      </c>
      <c r="G45" s="4">
        <v>1662341.41</v>
      </c>
      <c r="H45" s="4">
        <v>1662341.41</v>
      </c>
    </row>
    <row r="46" spans="1:22" x14ac:dyDescent="0.3">
      <c r="A46" s="2">
        <v>541</v>
      </c>
      <c r="B46" s="3" t="s">
        <v>75</v>
      </c>
      <c r="C46" s="4">
        <v>0</v>
      </c>
      <c r="D46" s="4">
        <v>43302.6</v>
      </c>
      <c r="E46" s="4">
        <v>43302.6</v>
      </c>
      <c r="F46" s="4">
        <v>0</v>
      </c>
      <c r="G46" s="4">
        <v>0</v>
      </c>
      <c r="H46" s="4">
        <v>0</v>
      </c>
    </row>
    <row r="47" spans="1:22" x14ac:dyDescent="0.3">
      <c r="A47" s="2">
        <v>550</v>
      </c>
      <c r="B47" s="3" t="s">
        <v>76</v>
      </c>
      <c r="C47" s="4">
        <v>0</v>
      </c>
      <c r="D47" s="4">
        <v>93</v>
      </c>
      <c r="E47" s="4">
        <v>93</v>
      </c>
      <c r="F47" s="4">
        <v>0</v>
      </c>
      <c r="G47" s="4">
        <v>0</v>
      </c>
      <c r="H47" s="4">
        <v>0</v>
      </c>
    </row>
    <row r="48" spans="1:22" x14ac:dyDescent="0.3">
      <c r="A48" s="2">
        <v>560</v>
      </c>
      <c r="B48" s="3" t="s">
        <v>77</v>
      </c>
      <c r="C48" s="4">
        <v>0</v>
      </c>
      <c r="D48" s="4">
        <v>1229966.7</v>
      </c>
      <c r="E48" s="4">
        <v>1229966.7</v>
      </c>
      <c r="F48" s="4">
        <v>0</v>
      </c>
      <c r="G48" s="4">
        <v>4680390.75</v>
      </c>
      <c r="H48" s="4">
        <v>4680390.75</v>
      </c>
    </row>
    <row r="49" spans="1:18" x14ac:dyDescent="0.3">
      <c r="A49" s="2">
        <v>600</v>
      </c>
      <c r="B49" s="3" t="s">
        <v>78</v>
      </c>
      <c r="C49" s="4">
        <v>0</v>
      </c>
      <c r="D49" s="4">
        <v>561211.93000000005</v>
      </c>
      <c r="E49" s="4">
        <v>561211.93000000005</v>
      </c>
      <c r="F49" s="4">
        <v>0</v>
      </c>
      <c r="G49" s="4">
        <v>3050070.25</v>
      </c>
      <c r="H49" s="4">
        <v>3050070.25</v>
      </c>
    </row>
    <row r="50" spans="1:18" x14ac:dyDescent="0.3">
      <c r="A50" s="2">
        <v>610</v>
      </c>
      <c r="B50" s="3">
        <v>610</v>
      </c>
      <c r="C50" s="4">
        <v>0</v>
      </c>
      <c r="D50" s="4">
        <v>66761</v>
      </c>
      <c r="E50" s="4">
        <v>66761</v>
      </c>
      <c r="F50" s="4">
        <v>0</v>
      </c>
      <c r="G50" s="4">
        <v>0</v>
      </c>
      <c r="H50" s="4">
        <v>0</v>
      </c>
    </row>
    <row r="51" spans="1:18" x14ac:dyDescent="0.3">
      <c r="A51" s="2">
        <v>620</v>
      </c>
      <c r="B51" s="3">
        <v>620</v>
      </c>
      <c r="C51" s="4">
        <v>0</v>
      </c>
      <c r="D51" s="4">
        <v>142302.69</v>
      </c>
      <c r="E51" s="4">
        <v>142302.69</v>
      </c>
      <c r="F51" s="4">
        <v>0</v>
      </c>
      <c r="G51" s="4">
        <v>0.18</v>
      </c>
      <c r="H51" s="4">
        <v>0.18</v>
      </c>
    </row>
    <row r="52" spans="1:18" x14ac:dyDescent="0.3">
      <c r="A52" s="2">
        <v>640</v>
      </c>
      <c r="B52" s="3">
        <v>640</v>
      </c>
      <c r="C52" s="4">
        <v>0</v>
      </c>
      <c r="D52" s="4">
        <v>891745.62</v>
      </c>
      <c r="E52" s="4">
        <v>891745.62</v>
      </c>
      <c r="F52" s="4">
        <v>0</v>
      </c>
      <c r="G52" s="4">
        <v>0</v>
      </c>
      <c r="H52" s="4">
        <v>0</v>
      </c>
    </row>
    <row r="53" spans="1:18" x14ac:dyDescent="0.3">
      <c r="A53" s="2">
        <v>650</v>
      </c>
      <c r="B53" s="3">
        <v>650</v>
      </c>
      <c r="C53" s="4">
        <v>0</v>
      </c>
      <c r="D53" s="4">
        <v>990909.39</v>
      </c>
      <c r="E53" s="4">
        <v>990909.39</v>
      </c>
      <c r="F53" s="4">
        <v>0</v>
      </c>
      <c r="G53" s="4">
        <v>0</v>
      </c>
      <c r="H53" s="4">
        <v>0</v>
      </c>
    </row>
    <row r="54" spans="1:18" x14ac:dyDescent="0.3">
      <c r="A54" s="2">
        <v>660</v>
      </c>
      <c r="B54" s="3">
        <v>660</v>
      </c>
      <c r="C54" s="4">
        <v>0</v>
      </c>
      <c r="D54" s="4">
        <v>1064266.73</v>
      </c>
      <c r="E54" s="4">
        <v>1064266.73</v>
      </c>
      <c r="F54" s="4">
        <v>0</v>
      </c>
      <c r="G54" s="4">
        <v>0</v>
      </c>
      <c r="H54" s="4">
        <v>0</v>
      </c>
    </row>
    <row r="55" spans="1:18" x14ac:dyDescent="0.3">
      <c r="A55" s="2">
        <v>670</v>
      </c>
      <c r="B55" s="3">
        <v>670</v>
      </c>
      <c r="C55" s="4">
        <v>0</v>
      </c>
      <c r="D55" s="4">
        <v>683173.11</v>
      </c>
      <c r="E55" s="4">
        <v>683173.11</v>
      </c>
      <c r="F55" s="4">
        <v>0</v>
      </c>
      <c r="G55" s="4">
        <v>-3412.5</v>
      </c>
      <c r="H55" s="4">
        <v>-3412.5</v>
      </c>
      <c r="J55" t="s">
        <v>0</v>
      </c>
      <c r="K55" t="s">
        <v>1</v>
      </c>
      <c r="L55" t="s">
        <v>2</v>
      </c>
      <c r="M55" t="s">
        <v>3</v>
      </c>
      <c r="N55" t="s">
        <v>4</v>
      </c>
      <c r="O55" t="s">
        <v>5</v>
      </c>
      <c r="P55" t="s">
        <v>6</v>
      </c>
      <c r="Q55" t="s">
        <v>7</v>
      </c>
      <c r="R55" t="s">
        <v>8</v>
      </c>
    </row>
    <row r="56" spans="1:18" x14ac:dyDescent="0.3">
      <c r="A56" s="2">
        <v>690</v>
      </c>
      <c r="B56" s="3" t="s">
        <v>29</v>
      </c>
      <c r="C56" s="4">
        <v>0</v>
      </c>
      <c r="D56" s="4">
        <v>4801229.8499999996</v>
      </c>
      <c r="E56" s="4">
        <v>4801229.8499999996</v>
      </c>
      <c r="F56" s="4">
        <v>0</v>
      </c>
      <c r="G56" s="4">
        <v>5631947.1399999997</v>
      </c>
      <c r="H56" s="4">
        <v>5631947.1399999997</v>
      </c>
      <c r="J56">
        <v>599000</v>
      </c>
      <c r="K56" t="s">
        <v>9</v>
      </c>
      <c r="L56">
        <v>610</v>
      </c>
      <c r="M56" t="s">
        <v>93</v>
      </c>
      <c r="N56">
        <v>0</v>
      </c>
      <c r="O56">
        <v>0</v>
      </c>
      <c r="P56">
        <v>-38400</v>
      </c>
      <c r="Q56">
        <v>0</v>
      </c>
      <c r="R56">
        <v>-38400</v>
      </c>
    </row>
    <row r="57" spans="1:18" x14ac:dyDescent="0.3">
      <c r="A57" s="2">
        <v>700</v>
      </c>
      <c r="B57" s="3" t="s">
        <v>30</v>
      </c>
      <c r="C57" s="4">
        <v>0</v>
      </c>
      <c r="D57" s="4">
        <v>5244947.74</v>
      </c>
      <c r="E57" s="4">
        <v>5244947.74</v>
      </c>
      <c r="F57" s="4">
        <v>0</v>
      </c>
      <c r="G57" s="4">
        <v>7803754.7300000004</v>
      </c>
      <c r="H57" s="4">
        <v>7803754.7300000004</v>
      </c>
      <c r="J57">
        <v>599000</v>
      </c>
      <c r="K57" t="s">
        <v>9</v>
      </c>
      <c r="L57">
        <v>620</v>
      </c>
      <c r="M57" t="s">
        <v>94</v>
      </c>
      <c r="N57">
        <v>0</v>
      </c>
      <c r="O57">
        <v>0</v>
      </c>
      <c r="P57">
        <v>-483633.88</v>
      </c>
      <c r="Q57">
        <v>0</v>
      </c>
      <c r="R57">
        <v>-483633.88</v>
      </c>
    </row>
    <row r="58" spans="1:18" x14ac:dyDescent="0.3">
      <c r="A58" s="2">
        <v>800</v>
      </c>
      <c r="B58" s="3" t="s">
        <v>79</v>
      </c>
      <c r="C58" s="4">
        <v>0</v>
      </c>
      <c r="D58" s="4">
        <v>72924</v>
      </c>
      <c r="E58" s="4">
        <v>72924</v>
      </c>
      <c r="F58" s="4">
        <v>0</v>
      </c>
      <c r="G58" s="4">
        <v>0</v>
      </c>
      <c r="H58" s="4">
        <v>0</v>
      </c>
      <c r="J58">
        <v>599000</v>
      </c>
      <c r="K58" t="s">
        <v>9</v>
      </c>
      <c r="L58">
        <v>640</v>
      </c>
      <c r="M58" t="s">
        <v>95</v>
      </c>
      <c r="N58">
        <v>0</v>
      </c>
      <c r="O58">
        <v>0</v>
      </c>
      <c r="P58">
        <v>-1327162.82</v>
      </c>
      <c r="Q58">
        <v>0</v>
      </c>
      <c r="R58">
        <v>-1327162.82</v>
      </c>
    </row>
    <row r="59" spans="1:18" x14ac:dyDescent="0.3">
      <c r="A59" s="2">
        <v>900</v>
      </c>
      <c r="B59" s="3" t="s">
        <v>31</v>
      </c>
      <c r="C59" s="4">
        <v>0</v>
      </c>
      <c r="D59" s="4">
        <v>7142657.2599999998</v>
      </c>
      <c r="E59" s="4">
        <v>7142657.2599999998</v>
      </c>
      <c r="F59" s="4">
        <v>0</v>
      </c>
      <c r="G59" s="4">
        <v>7806272.6900000004</v>
      </c>
      <c r="H59" s="4">
        <v>7806272.6900000004</v>
      </c>
      <c r="J59">
        <v>599000</v>
      </c>
      <c r="K59" t="s">
        <v>9</v>
      </c>
      <c r="L59">
        <v>650</v>
      </c>
      <c r="M59" t="s">
        <v>96</v>
      </c>
      <c r="N59">
        <v>0</v>
      </c>
      <c r="O59">
        <v>0</v>
      </c>
      <c r="P59">
        <v>-1439774.51</v>
      </c>
      <c r="Q59">
        <v>0</v>
      </c>
      <c r="R59">
        <v>-1439774.51</v>
      </c>
    </row>
    <row r="60" spans="1:18" x14ac:dyDescent="0.3">
      <c r="A60" s="2">
        <v>901</v>
      </c>
      <c r="B60" s="3" t="s">
        <v>32</v>
      </c>
      <c r="C60" s="4">
        <v>0</v>
      </c>
      <c r="D60" s="4">
        <v>18788.849999999999</v>
      </c>
      <c r="E60" s="4">
        <v>18788.849999999999</v>
      </c>
      <c r="F60" s="4">
        <v>0</v>
      </c>
      <c r="G60" s="4">
        <v>82684.789999999994</v>
      </c>
      <c r="H60" s="4">
        <v>82684.789999999994</v>
      </c>
      <c r="J60">
        <v>599000</v>
      </c>
      <c r="K60" t="s">
        <v>9</v>
      </c>
      <c r="L60">
        <v>660</v>
      </c>
      <c r="M60" t="s">
        <v>97</v>
      </c>
      <c r="N60">
        <v>0</v>
      </c>
      <c r="O60">
        <v>0</v>
      </c>
      <c r="P60">
        <v>-1850737.15</v>
      </c>
      <c r="Q60">
        <v>0</v>
      </c>
      <c r="R60">
        <v>-1850737.15</v>
      </c>
    </row>
    <row r="61" spans="1:18" x14ac:dyDescent="0.3">
      <c r="A61" s="2">
        <v>902</v>
      </c>
      <c r="B61" s="3" t="s">
        <v>33</v>
      </c>
      <c r="C61" s="4">
        <v>0</v>
      </c>
      <c r="D61" s="4">
        <v>90690.76</v>
      </c>
      <c r="E61" s="4">
        <v>90690.76</v>
      </c>
      <c r="F61" s="4">
        <v>0</v>
      </c>
      <c r="G61" s="4">
        <v>120255.32</v>
      </c>
      <c r="H61" s="4">
        <v>120255.32</v>
      </c>
      <c r="J61">
        <v>599000</v>
      </c>
      <c r="K61" t="s">
        <v>9</v>
      </c>
      <c r="L61">
        <v>670</v>
      </c>
      <c r="M61" t="s">
        <v>98</v>
      </c>
      <c r="N61">
        <v>0</v>
      </c>
      <c r="O61">
        <v>0</v>
      </c>
      <c r="P61">
        <v>-3412.5</v>
      </c>
      <c r="Q61">
        <v>0</v>
      </c>
      <c r="R61">
        <v>-3412.5</v>
      </c>
    </row>
    <row r="62" spans="1:18" x14ac:dyDescent="0.3">
      <c r="A62" s="2">
        <v>920</v>
      </c>
      <c r="B62" s="3" t="s">
        <v>34</v>
      </c>
      <c r="C62" s="4">
        <v>0</v>
      </c>
      <c r="D62" s="4">
        <v>23442.3</v>
      </c>
      <c r="E62" s="4">
        <v>23442.3</v>
      </c>
      <c r="F62" s="4">
        <v>0</v>
      </c>
      <c r="G62" s="4">
        <v>51433.81</v>
      </c>
      <c r="H62" s="4">
        <v>51433.81</v>
      </c>
    </row>
    <row r="63" spans="1:18" x14ac:dyDescent="0.3">
      <c r="A63" s="2">
        <v>930</v>
      </c>
      <c r="B63" s="3" t="s">
        <v>35</v>
      </c>
      <c r="C63" s="4">
        <v>0</v>
      </c>
      <c r="D63" s="4">
        <v>54899.29</v>
      </c>
      <c r="E63" s="4">
        <v>54899.29</v>
      </c>
      <c r="F63" s="4">
        <v>0</v>
      </c>
      <c r="G63" s="4">
        <v>222714.83</v>
      </c>
      <c r="H63" s="4">
        <v>222714.83</v>
      </c>
    </row>
    <row r="64" spans="1:18" x14ac:dyDescent="0.3">
      <c r="A64" s="2">
        <v>950</v>
      </c>
      <c r="B64" s="3" t="s">
        <v>36</v>
      </c>
      <c r="C64" s="4">
        <v>0</v>
      </c>
      <c r="D64" s="4">
        <v>150046.35</v>
      </c>
      <c r="E64" s="4">
        <v>150046.35</v>
      </c>
      <c r="F64" s="4">
        <v>0</v>
      </c>
      <c r="G64" s="4">
        <v>181533.74</v>
      </c>
      <c r="H64" s="4">
        <v>181533.74</v>
      </c>
    </row>
    <row r="65" spans="1:12" x14ac:dyDescent="0.3">
      <c r="A65" s="2">
        <v>960</v>
      </c>
      <c r="B65" s="3" t="s">
        <v>37</v>
      </c>
      <c r="C65" s="4">
        <v>0</v>
      </c>
      <c r="D65" s="4">
        <v>175904.08</v>
      </c>
      <c r="E65" s="4">
        <v>175904.08</v>
      </c>
      <c r="F65" s="4">
        <v>0</v>
      </c>
      <c r="G65" s="4">
        <v>654627.34</v>
      </c>
      <c r="H65" s="4">
        <v>654627.34</v>
      </c>
    </row>
    <row r="66" spans="1:12" x14ac:dyDescent="0.3">
      <c r="D66" s="6">
        <f>SUM(D18:D65)</f>
        <v>72241197.25</v>
      </c>
      <c r="E66" s="6">
        <f t="shared" ref="E66:H66" si="2">SUM(E18:E65)</f>
        <v>72241197.25</v>
      </c>
      <c r="F66" s="6">
        <f t="shared" si="2"/>
        <v>0</v>
      </c>
      <c r="G66" s="6">
        <f t="shared" si="2"/>
        <v>90483384.060000002</v>
      </c>
      <c r="H66" s="6">
        <f t="shared" si="2"/>
        <v>90483384.060000002</v>
      </c>
    </row>
    <row r="67" spans="1:12" x14ac:dyDescent="0.3">
      <c r="D67" s="6">
        <f>SUM(D23:D33)</f>
        <v>15673940.010000002</v>
      </c>
    </row>
    <row r="68" spans="1:12" x14ac:dyDescent="0.3">
      <c r="D68" s="3">
        <v>2024</v>
      </c>
      <c r="G68" s="3">
        <v>2023</v>
      </c>
    </row>
    <row r="69" spans="1:12" x14ac:dyDescent="0.3">
      <c r="B69" t="s">
        <v>84</v>
      </c>
      <c r="D69" s="10">
        <f>N12/D66</f>
        <v>0.24504863089045778</v>
      </c>
      <c r="E69" s="10">
        <f t="shared" ref="E69:H69" si="3">O12/E66</f>
        <v>0.24504863089045778</v>
      </c>
      <c r="F69" s="10"/>
      <c r="G69" s="10">
        <f t="shared" si="3"/>
        <v>0.24927476601718954</v>
      </c>
      <c r="H69" s="10">
        <f t="shared" si="3"/>
        <v>0.24927476601718954</v>
      </c>
    </row>
    <row r="70" spans="1:12" x14ac:dyDescent="0.3">
      <c r="B70" t="s">
        <v>86</v>
      </c>
      <c r="D70">
        <v>8</v>
      </c>
      <c r="E70">
        <v>10</v>
      </c>
      <c r="G70">
        <v>8</v>
      </c>
      <c r="H70">
        <v>10</v>
      </c>
    </row>
    <row r="71" spans="1:12" x14ac:dyDescent="0.3">
      <c r="B71" t="s">
        <v>85</v>
      </c>
      <c r="C71">
        <v>9</v>
      </c>
      <c r="D71" s="11">
        <f>D67/D70</f>
        <v>1959242.5012500002</v>
      </c>
      <c r="E71" s="11"/>
      <c r="F71" s="11"/>
      <c r="G71" s="11">
        <f>G14/G70</f>
        <v>2506663.1712500001</v>
      </c>
    </row>
    <row r="72" spans="1:12" x14ac:dyDescent="0.3">
      <c r="C72">
        <v>12</v>
      </c>
      <c r="D72" s="11">
        <f>D71/C71*C72</f>
        <v>2612323.335</v>
      </c>
    </row>
    <row r="73" spans="1:12" x14ac:dyDescent="0.3">
      <c r="B73" t="s">
        <v>84</v>
      </c>
      <c r="D73" s="12">
        <f>D69*D72+D72</f>
        <v>3252469.5916849449</v>
      </c>
      <c r="E73" s="12"/>
      <c r="F73" s="12"/>
      <c r="G73" s="12">
        <f>G71*G69+G71</f>
        <v>3131511.0467472505</v>
      </c>
    </row>
    <row r="74" spans="1:12" x14ac:dyDescent="0.3">
      <c r="B74" t="s">
        <v>88</v>
      </c>
      <c r="C74">
        <v>2</v>
      </c>
      <c r="D74" s="12">
        <f>D73*C74</f>
        <v>6504939.1833698899</v>
      </c>
      <c r="G74" s="12">
        <f>G73*C74</f>
        <v>6263022.093494501</v>
      </c>
    </row>
    <row r="75" spans="1:12" x14ac:dyDescent="0.3">
      <c r="B75" t="s">
        <v>87</v>
      </c>
      <c r="C75" s="9"/>
      <c r="D75" s="12">
        <f>604747*12</f>
        <v>7256964</v>
      </c>
      <c r="E75" s="9">
        <f>1-D74/D75</f>
        <v>0.10362802084041067</v>
      </c>
      <c r="F75" s="12"/>
      <c r="G75" s="12"/>
    </row>
    <row r="76" spans="1:12" x14ac:dyDescent="0.3">
      <c r="C76" s="9"/>
    </row>
    <row r="77" spans="1:12" x14ac:dyDescent="0.3">
      <c r="B77">
        <v>2025</v>
      </c>
      <c r="C77" s="9"/>
      <c r="D77" s="12">
        <f>D75*1.06</f>
        <v>7692381.8400000008</v>
      </c>
      <c r="E77" s="12">
        <f>D73*1.06*2</f>
        <v>6895235.5343720838</v>
      </c>
    </row>
    <row r="79" spans="1:12" x14ac:dyDescent="0.3">
      <c r="E79" s="10">
        <f>1-E77/D77</f>
        <v>0.10362802084041067</v>
      </c>
      <c r="L79">
        <v>88</v>
      </c>
    </row>
    <row r="80" spans="1:12" x14ac:dyDescent="0.3">
      <c r="B80">
        <f>1815/3</f>
        <v>605</v>
      </c>
      <c r="I80">
        <v>2023</v>
      </c>
      <c r="J80">
        <v>2024</v>
      </c>
    </row>
    <row r="81" spans="2:10" x14ac:dyDescent="0.3">
      <c r="I81">
        <v>1317389</v>
      </c>
      <c r="J81">
        <v>1682325</v>
      </c>
    </row>
    <row r="82" spans="2:10" x14ac:dyDescent="0.3">
      <c r="B82">
        <v>2024</v>
      </c>
      <c r="D82">
        <v>723000</v>
      </c>
      <c r="G82">
        <f>-P59</f>
        <v>1439774.51</v>
      </c>
      <c r="I82">
        <v>1000.303</v>
      </c>
      <c r="J82">
        <v>1143.4010000000001</v>
      </c>
    </row>
    <row r="83" spans="2:10" x14ac:dyDescent="0.3">
      <c r="B83">
        <v>960000</v>
      </c>
      <c r="D83">
        <f>13*292*23</f>
        <v>87308</v>
      </c>
      <c r="I83">
        <v>20653</v>
      </c>
      <c r="J83">
        <v>16536</v>
      </c>
    </row>
    <row r="84" spans="2:10" x14ac:dyDescent="0.3">
      <c r="D84">
        <f>13*292*20</f>
        <v>75920</v>
      </c>
    </row>
    <row r="85" spans="2:10" x14ac:dyDescent="0.3">
      <c r="B85">
        <v>292</v>
      </c>
      <c r="D85">
        <f>13*292*19</f>
        <v>72124</v>
      </c>
    </row>
    <row r="86" spans="2:10" x14ac:dyDescent="0.3">
      <c r="B86">
        <f>B85*1.06</f>
        <v>309.52000000000004</v>
      </c>
      <c r="D86">
        <f>SUM(D82:D85)</f>
        <v>958352</v>
      </c>
    </row>
    <row r="87" spans="2:10" x14ac:dyDescent="0.3">
      <c r="B87">
        <v>310</v>
      </c>
    </row>
    <row r="88" spans="2:10" x14ac:dyDescent="0.3">
      <c r="B88">
        <f>B87*251*13</f>
        <v>1011530</v>
      </c>
    </row>
    <row r="89" spans="2:10" x14ac:dyDescent="0.3">
      <c r="B89">
        <f>B88-B83</f>
        <v>51530</v>
      </c>
    </row>
  </sheetData>
  <mergeCells count="1">
    <mergeCell ref="A1:I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10BC-167C-460A-A99F-3D480763F480}">
  <dimension ref="A1:T253"/>
  <sheetViews>
    <sheetView workbookViewId="0">
      <selection activeCell="K219" sqref="K219"/>
    </sheetView>
  </sheetViews>
  <sheetFormatPr defaultRowHeight="14.4" x14ac:dyDescent="0.3"/>
  <cols>
    <col min="4" max="4" width="22" customWidth="1"/>
    <col min="6" max="6" width="19.33203125" customWidth="1"/>
    <col min="16" max="18" width="12.33203125" bestFit="1" customWidth="1"/>
  </cols>
  <sheetData>
    <row r="1" spans="1:13" x14ac:dyDescent="0.3">
      <c r="A1" s="43" t="s">
        <v>118</v>
      </c>
      <c r="B1" s="43" t="s">
        <v>119</v>
      </c>
      <c r="C1" s="43" t="s">
        <v>120</v>
      </c>
      <c r="D1" s="43" t="s">
        <v>121</v>
      </c>
      <c r="E1" s="43" t="s">
        <v>122</v>
      </c>
      <c r="F1" s="43" t="s">
        <v>123</v>
      </c>
      <c r="G1" s="43" t="s">
        <v>124</v>
      </c>
      <c r="H1" s="43" t="s">
        <v>125</v>
      </c>
      <c r="I1" s="43" t="s">
        <v>126</v>
      </c>
      <c r="J1" s="43" t="s">
        <v>127</v>
      </c>
      <c r="K1" s="43" t="s">
        <v>128</v>
      </c>
    </row>
    <row r="2" spans="1:13" x14ac:dyDescent="0.3">
      <c r="A2">
        <v>248266</v>
      </c>
      <c r="B2" s="44" t="s">
        <v>129</v>
      </c>
      <c r="C2" s="44" t="s">
        <v>130</v>
      </c>
      <c r="D2" s="44" t="s">
        <v>131</v>
      </c>
      <c r="E2" s="44" t="s">
        <v>132</v>
      </c>
      <c r="F2" s="44" t="s">
        <v>133</v>
      </c>
      <c r="G2" s="44" t="s">
        <v>134</v>
      </c>
      <c r="H2">
        <v>0.33800000000000002</v>
      </c>
      <c r="I2">
        <v>0</v>
      </c>
      <c r="J2" s="44" t="s">
        <v>98</v>
      </c>
      <c r="K2">
        <v>2772</v>
      </c>
      <c r="L2" t="s">
        <v>321</v>
      </c>
    </row>
    <row r="3" spans="1:13" x14ac:dyDescent="0.3">
      <c r="A3">
        <v>248266</v>
      </c>
      <c r="B3" s="44" t="s">
        <v>129</v>
      </c>
      <c r="C3" s="44" t="s">
        <v>130</v>
      </c>
      <c r="D3" s="44" t="s">
        <v>131</v>
      </c>
      <c r="E3" s="44" t="s">
        <v>132</v>
      </c>
      <c r="F3" s="44" t="s">
        <v>135</v>
      </c>
      <c r="G3" s="44" t="s">
        <v>136</v>
      </c>
      <c r="H3">
        <v>0.02</v>
      </c>
      <c r="I3">
        <v>0</v>
      </c>
      <c r="J3" s="44" t="s">
        <v>98</v>
      </c>
      <c r="K3">
        <v>18.2</v>
      </c>
      <c r="L3" t="s">
        <v>322</v>
      </c>
    </row>
    <row r="4" spans="1:13" x14ac:dyDescent="0.3">
      <c r="A4">
        <v>248266</v>
      </c>
      <c r="B4" s="44" t="s">
        <v>129</v>
      </c>
      <c r="C4" s="44" t="s">
        <v>130</v>
      </c>
      <c r="D4" s="44" t="s">
        <v>131</v>
      </c>
      <c r="E4" s="44" t="s">
        <v>132</v>
      </c>
      <c r="F4" s="44" t="s">
        <v>137</v>
      </c>
      <c r="G4" s="44" t="s">
        <v>138</v>
      </c>
      <c r="H4">
        <v>0.35</v>
      </c>
      <c r="I4">
        <v>0</v>
      </c>
      <c r="J4" s="44" t="s">
        <v>98</v>
      </c>
      <c r="K4">
        <v>1190</v>
      </c>
      <c r="L4" t="s">
        <v>322</v>
      </c>
    </row>
    <row r="5" spans="1:13" x14ac:dyDescent="0.3">
      <c r="A5">
        <v>248266</v>
      </c>
      <c r="B5" s="44" t="s">
        <v>129</v>
      </c>
      <c r="C5" s="44" t="s">
        <v>130</v>
      </c>
      <c r="D5" s="44" t="s">
        <v>131</v>
      </c>
      <c r="E5" s="44" t="s">
        <v>132</v>
      </c>
      <c r="F5" s="44" t="s">
        <v>139</v>
      </c>
      <c r="G5" s="44" t="s">
        <v>140</v>
      </c>
      <c r="H5">
        <v>3.17</v>
      </c>
      <c r="I5">
        <v>0</v>
      </c>
      <c r="J5" s="44" t="s">
        <v>98</v>
      </c>
      <c r="K5">
        <v>3409.25</v>
      </c>
      <c r="L5" t="s">
        <v>322</v>
      </c>
    </row>
    <row r="6" spans="1:13" x14ac:dyDescent="0.3">
      <c r="A6">
        <v>248266</v>
      </c>
      <c r="B6" s="44" t="s">
        <v>129</v>
      </c>
      <c r="C6" s="44" t="s">
        <v>130</v>
      </c>
      <c r="D6" s="44" t="s">
        <v>131</v>
      </c>
      <c r="E6" s="44" t="s">
        <v>132</v>
      </c>
      <c r="F6" s="44" t="s">
        <v>141</v>
      </c>
      <c r="G6" s="44" t="s">
        <v>142</v>
      </c>
      <c r="H6">
        <v>28.164999999999999</v>
      </c>
      <c r="I6">
        <v>0</v>
      </c>
      <c r="J6" s="44" t="s">
        <v>98</v>
      </c>
      <c r="K6">
        <v>14082.5</v>
      </c>
      <c r="L6" t="s">
        <v>321</v>
      </c>
    </row>
    <row r="7" spans="1:13" x14ac:dyDescent="0.3">
      <c r="A7">
        <v>248266</v>
      </c>
      <c r="B7" s="44" t="s">
        <v>129</v>
      </c>
      <c r="C7" s="44" t="s">
        <v>130</v>
      </c>
      <c r="D7" s="44" t="s">
        <v>131</v>
      </c>
      <c r="E7" s="44" t="s">
        <v>132</v>
      </c>
      <c r="F7" s="44" t="s">
        <v>143</v>
      </c>
      <c r="G7" s="44" t="s">
        <v>144</v>
      </c>
      <c r="H7">
        <v>13.34</v>
      </c>
      <c r="I7">
        <v>0</v>
      </c>
      <c r="J7" s="44" t="s">
        <v>98</v>
      </c>
      <c r="K7">
        <v>5336</v>
      </c>
      <c r="L7" t="s">
        <v>322</v>
      </c>
    </row>
    <row r="8" spans="1:13" x14ac:dyDescent="0.3">
      <c r="A8">
        <v>248266</v>
      </c>
      <c r="B8" s="44" t="s">
        <v>129</v>
      </c>
      <c r="C8" s="44" t="s">
        <v>130</v>
      </c>
      <c r="D8" s="44" t="s">
        <v>131</v>
      </c>
      <c r="E8" s="44" t="s">
        <v>132</v>
      </c>
      <c r="F8" s="44" t="s">
        <v>145</v>
      </c>
      <c r="G8" s="44" t="s">
        <v>146</v>
      </c>
      <c r="H8">
        <v>4.42</v>
      </c>
      <c r="I8">
        <v>0</v>
      </c>
      <c r="J8" s="44" t="s">
        <v>98</v>
      </c>
      <c r="K8">
        <v>1768</v>
      </c>
      <c r="L8" t="s">
        <v>322</v>
      </c>
    </row>
    <row r="9" spans="1:13" x14ac:dyDescent="0.3">
      <c r="A9">
        <v>248266</v>
      </c>
      <c r="B9" s="44" t="s">
        <v>129</v>
      </c>
      <c r="C9" s="44" t="s">
        <v>130</v>
      </c>
      <c r="D9" s="44" t="s">
        <v>131</v>
      </c>
      <c r="E9" s="44" t="s">
        <v>132</v>
      </c>
      <c r="F9" s="44" t="s">
        <v>145</v>
      </c>
      <c r="G9" s="44" t="s">
        <v>146</v>
      </c>
      <c r="H9">
        <v>140.26</v>
      </c>
      <c r="I9">
        <v>0</v>
      </c>
      <c r="J9" s="44" t="s">
        <v>98</v>
      </c>
      <c r="K9">
        <v>56104</v>
      </c>
      <c r="L9" t="s">
        <v>322</v>
      </c>
    </row>
    <row r="10" spans="1:13" ht="15" thickBot="1" x14ac:dyDescent="0.35">
      <c r="A10">
        <v>248266</v>
      </c>
      <c r="B10" s="44" t="s">
        <v>129</v>
      </c>
      <c r="C10" s="44" t="s">
        <v>130</v>
      </c>
      <c r="D10" s="44" t="s">
        <v>131</v>
      </c>
      <c r="E10" s="44" t="s">
        <v>132</v>
      </c>
      <c r="F10" s="44" t="s">
        <v>147</v>
      </c>
      <c r="G10" s="44" t="s">
        <v>148</v>
      </c>
      <c r="H10">
        <v>164.40299999999999</v>
      </c>
      <c r="I10">
        <v>0</v>
      </c>
      <c r="J10" s="44" t="s">
        <v>98</v>
      </c>
      <c r="K10">
        <v>185787.9</v>
      </c>
      <c r="L10" t="s">
        <v>323</v>
      </c>
    </row>
    <row r="11" spans="1:13" s="43" customFormat="1" ht="15" thickBot="1" x14ac:dyDescent="0.35">
      <c r="A11" s="45"/>
      <c r="B11" s="46"/>
      <c r="C11" s="46"/>
      <c r="D11" s="47" t="s">
        <v>131</v>
      </c>
      <c r="E11" s="46"/>
      <c r="F11" s="46"/>
      <c r="G11" s="46"/>
      <c r="H11" s="46">
        <f>SUM(H2:H10)</f>
        <v>354.46600000000001</v>
      </c>
      <c r="I11" s="46"/>
      <c r="J11" s="46"/>
      <c r="K11" s="48">
        <f>SUM(K2:K10)</f>
        <v>270467.84999999998</v>
      </c>
      <c r="M11" s="43" t="s">
        <v>149</v>
      </c>
    </row>
    <row r="12" spans="1:13" s="43" customFormat="1" x14ac:dyDescent="0.3">
      <c r="D12" s="49"/>
    </row>
    <row r="13" spans="1:13" x14ac:dyDescent="0.3">
      <c r="A13" s="43" t="s">
        <v>150</v>
      </c>
      <c r="B13" s="43"/>
      <c r="C13" s="43"/>
      <c r="D13" s="43"/>
    </row>
    <row r="14" spans="1:13" x14ac:dyDescent="0.3">
      <c r="A14" s="44" t="s">
        <v>98</v>
      </c>
      <c r="B14" s="44" t="s">
        <v>98</v>
      </c>
      <c r="C14" s="44" t="s">
        <v>151</v>
      </c>
      <c r="D14" s="44" t="s">
        <v>152</v>
      </c>
      <c r="E14" s="44" t="s">
        <v>132</v>
      </c>
      <c r="F14" s="44" t="s">
        <v>153</v>
      </c>
      <c r="G14" s="44" t="s">
        <v>154</v>
      </c>
      <c r="H14">
        <v>0.53</v>
      </c>
      <c r="I14">
        <v>0</v>
      </c>
      <c r="J14" s="44" t="s">
        <v>98</v>
      </c>
      <c r="K14">
        <v>480</v>
      </c>
      <c r="L14" t="s">
        <v>321</v>
      </c>
    </row>
    <row r="15" spans="1:13" x14ac:dyDescent="0.3">
      <c r="A15" s="44" t="s">
        <v>98</v>
      </c>
      <c r="B15" s="44" t="s">
        <v>98</v>
      </c>
      <c r="C15" s="44" t="s">
        <v>151</v>
      </c>
      <c r="D15" s="44" t="s">
        <v>152</v>
      </c>
      <c r="E15" s="44" t="s">
        <v>132</v>
      </c>
      <c r="F15" s="44" t="s">
        <v>155</v>
      </c>
      <c r="G15" s="44" t="s">
        <v>156</v>
      </c>
      <c r="H15">
        <v>0.7</v>
      </c>
      <c r="I15">
        <v>0</v>
      </c>
      <c r="J15" s="44" t="s">
        <v>98</v>
      </c>
      <c r="K15">
        <v>2400</v>
      </c>
      <c r="L15" t="s">
        <v>321</v>
      </c>
    </row>
    <row r="16" spans="1:13" x14ac:dyDescent="0.3">
      <c r="A16" s="44" t="s">
        <v>98</v>
      </c>
      <c r="B16" s="44" t="s">
        <v>98</v>
      </c>
      <c r="C16" s="44" t="s">
        <v>151</v>
      </c>
      <c r="D16" s="44" t="s">
        <v>152</v>
      </c>
      <c r="E16" s="44" t="s">
        <v>132</v>
      </c>
      <c r="F16" s="44" t="s">
        <v>133</v>
      </c>
      <c r="G16" s="44" t="s">
        <v>134</v>
      </c>
      <c r="H16">
        <v>1.3660000000000001</v>
      </c>
      <c r="I16">
        <v>0</v>
      </c>
      <c r="J16" s="44" t="s">
        <v>98</v>
      </c>
      <c r="K16">
        <v>3628</v>
      </c>
      <c r="L16" t="s">
        <v>321</v>
      </c>
    </row>
    <row r="17" spans="1:13" x14ac:dyDescent="0.3">
      <c r="A17" s="44" t="s">
        <v>98</v>
      </c>
      <c r="B17" s="44" t="s">
        <v>98</v>
      </c>
      <c r="C17" s="44" t="s">
        <v>151</v>
      </c>
      <c r="D17" s="44" t="s">
        <v>152</v>
      </c>
      <c r="E17" s="44" t="s">
        <v>132</v>
      </c>
      <c r="F17" s="44" t="s">
        <v>157</v>
      </c>
      <c r="G17" s="44" t="s">
        <v>158</v>
      </c>
      <c r="H17">
        <v>0.05</v>
      </c>
      <c r="I17">
        <v>0</v>
      </c>
      <c r="J17" s="44" t="s">
        <v>98</v>
      </c>
      <c r="K17">
        <v>94.75</v>
      </c>
      <c r="L17" t="s">
        <v>323</v>
      </c>
    </row>
    <row r="18" spans="1:13" x14ac:dyDescent="0.3">
      <c r="A18" s="44" t="s">
        <v>98</v>
      </c>
      <c r="B18" s="44" t="s">
        <v>98</v>
      </c>
      <c r="C18" s="44" t="s">
        <v>151</v>
      </c>
      <c r="D18" s="44" t="s">
        <v>152</v>
      </c>
      <c r="E18" s="44" t="s">
        <v>132</v>
      </c>
      <c r="F18" s="44" t="s">
        <v>135</v>
      </c>
      <c r="G18" s="44" t="s">
        <v>136</v>
      </c>
      <c r="H18">
        <v>9.5000000000000001E-2</v>
      </c>
      <c r="I18">
        <v>0</v>
      </c>
      <c r="J18" s="44" t="s">
        <v>98</v>
      </c>
      <c r="K18">
        <v>86.45</v>
      </c>
      <c r="L18" t="s">
        <v>323</v>
      </c>
    </row>
    <row r="19" spans="1:13" x14ac:dyDescent="0.3">
      <c r="A19" s="44" t="s">
        <v>98</v>
      </c>
      <c r="B19" s="44" t="s">
        <v>98</v>
      </c>
      <c r="C19" s="44" t="s">
        <v>151</v>
      </c>
      <c r="D19" s="44" t="s">
        <v>152</v>
      </c>
      <c r="E19" s="44" t="s">
        <v>132</v>
      </c>
      <c r="F19" s="44" t="s">
        <v>135</v>
      </c>
      <c r="G19" s="44" t="s">
        <v>159</v>
      </c>
      <c r="H19">
        <v>1.5549999999999999</v>
      </c>
      <c r="I19">
        <v>0</v>
      </c>
      <c r="J19" s="44" t="s">
        <v>98</v>
      </c>
      <c r="K19">
        <v>921</v>
      </c>
      <c r="L19" t="s">
        <v>321</v>
      </c>
    </row>
    <row r="20" spans="1:13" x14ac:dyDescent="0.3">
      <c r="A20" s="44" t="s">
        <v>98</v>
      </c>
      <c r="B20" s="44" t="s">
        <v>98</v>
      </c>
      <c r="C20" s="44" t="s">
        <v>151</v>
      </c>
      <c r="D20" s="44" t="s">
        <v>152</v>
      </c>
      <c r="E20" s="44" t="s">
        <v>132</v>
      </c>
      <c r="F20" s="44" t="s">
        <v>137</v>
      </c>
      <c r="G20" s="44" t="s">
        <v>138</v>
      </c>
      <c r="H20">
        <v>29.9</v>
      </c>
      <c r="I20">
        <v>0</v>
      </c>
      <c r="J20" s="44" t="s">
        <v>98</v>
      </c>
      <c r="K20">
        <v>86900.25</v>
      </c>
      <c r="L20" t="s">
        <v>322</v>
      </c>
    </row>
    <row r="21" spans="1:13" x14ac:dyDescent="0.3">
      <c r="A21" s="44" t="s">
        <v>98</v>
      </c>
      <c r="B21" s="44" t="s">
        <v>98</v>
      </c>
      <c r="C21" s="44" t="s">
        <v>151</v>
      </c>
      <c r="D21" s="44" t="s">
        <v>152</v>
      </c>
      <c r="E21" s="44" t="s">
        <v>132</v>
      </c>
      <c r="F21" s="44" t="s">
        <v>139</v>
      </c>
      <c r="G21" s="44" t="s">
        <v>140</v>
      </c>
      <c r="H21">
        <v>55.936</v>
      </c>
      <c r="I21">
        <v>15</v>
      </c>
      <c r="J21" s="44" t="s">
        <v>98</v>
      </c>
      <c r="K21">
        <v>106577.57</v>
      </c>
      <c r="L21" t="s">
        <v>322</v>
      </c>
    </row>
    <row r="22" spans="1:13" x14ac:dyDescent="0.3">
      <c r="A22" s="44" t="s">
        <v>98</v>
      </c>
      <c r="B22" s="44" t="s">
        <v>98</v>
      </c>
      <c r="C22" s="44" t="s">
        <v>151</v>
      </c>
      <c r="D22" s="44" t="s">
        <v>152</v>
      </c>
      <c r="E22" s="44" t="s">
        <v>132</v>
      </c>
      <c r="F22" s="44" t="s">
        <v>141</v>
      </c>
      <c r="G22" s="44" t="s">
        <v>142</v>
      </c>
      <c r="H22">
        <v>27.105</v>
      </c>
      <c r="I22">
        <v>0</v>
      </c>
      <c r="J22" s="44" t="s">
        <v>98</v>
      </c>
      <c r="K22">
        <v>13552.5</v>
      </c>
      <c r="L22" t="s">
        <v>321</v>
      </c>
    </row>
    <row r="23" spans="1:13" x14ac:dyDescent="0.3">
      <c r="A23" s="44" t="s">
        <v>98</v>
      </c>
      <c r="B23" s="44" t="s">
        <v>98</v>
      </c>
      <c r="C23" s="44" t="s">
        <v>151</v>
      </c>
      <c r="D23" s="44" t="s">
        <v>152</v>
      </c>
      <c r="E23" s="44" t="s">
        <v>132</v>
      </c>
      <c r="F23" s="44" t="s">
        <v>143</v>
      </c>
      <c r="G23" s="44" t="s">
        <v>144</v>
      </c>
      <c r="H23">
        <v>2.472</v>
      </c>
      <c r="I23">
        <v>0</v>
      </c>
      <c r="J23" s="44" t="s">
        <v>98</v>
      </c>
      <c r="K23">
        <v>1236.7</v>
      </c>
      <c r="L23" t="s">
        <v>322</v>
      </c>
    </row>
    <row r="24" spans="1:13" ht="15" thickBot="1" x14ac:dyDescent="0.35">
      <c r="A24" s="44" t="s">
        <v>98</v>
      </c>
      <c r="B24" s="44" t="s">
        <v>98</v>
      </c>
      <c r="C24" s="44" t="s">
        <v>151</v>
      </c>
      <c r="D24" s="44" t="s">
        <v>152</v>
      </c>
      <c r="E24" s="44" t="s">
        <v>132</v>
      </c>
      <c r="F24" s="44" t="s">
        <v>147</v>
      </c>
      <c r="G24" s="44" t="s">
        <v>148</v>
      </c>
      <c r="H24">
        <v>6.2789999999999999</v>
      </c>
      <c r="I24">
        <v>0</v>
      </c>
      <c r="J24" s="44" t="s">
        <v>98</v>
      </c>
      <c r="K24">
        <v>7279.5</v>
      </c>
      <c r="L24" t="s">
        <v>323</v>
      </c>
    </row>
    <row r="25" spans="1:13" ht="15" thickBot="1" x14ac:dyDescent="0.35">
      <c r="A25" s="45"/>
      <c r="B25" s="46"/>
      <c r="C25" s="46"/>
      <c r="D25" s="47" t="s">
        <v>152</v>
      </c>
      <c r="E25" s="46"/>
      <c r="F25" s="46"/>
      <c r="G25" s="46"/>
      <c r="H25" s="46">
        <f>SUM(H14:H24)</f>
        <v>125.988</v>
      </c>
      <c r="I25" s="46"/>
      <c r="J25" s="46"/>
      <c r="K25" s="48">
        <f>SUM(K14:K24)</f>
        <v>223156.72000000003</v>
      </c>
      <c r="M25" s="43" t="s">
        <v>149</v>
      </c>
    </row>
    <row r="28" spans="1:13" x14ac:dyDescent="0.3">
      <c r="A28" s="43" t="s">
        <v>160</v>
      </c>
      <c r="B28" s="43"/>
      <c r="C28" s="43"/>
      <c r="D28" s="43"/>
    </row>
    <row r="29" spans="1:13" x14ac:dyDescent="0.3">
      <c r="A29" s="44" t="s">
        <v>98</v>
      </c>
      <c r="B29" s="44" t="s">
        <v>98</v>
      </c>
      <c r="C29" s="44" t="s">
        <v>151</v>
      </c>
      <c r="D29" s="44" t="s">
        <v>161</v>
      </c>
      <c r="E29" s="44" t="s">
        <v>132</v>
      </c>
      <c r="F29" s="44" t="s">
        <v>147</v>
      </c>
      <c r="G29" s="44" t="s">
        <v>148</v>
      </c>
      <c r="H29">
        <v>0.09</v>
      </c>
      <c r="I29">
        <v>0</v>
      </c>
      <c r="J29" s="44" t="s">
        <v>98</v>
      </c>
      <c r="K29">
        <v>135</v>
      </c>
    </row>
    <row r="30" spans="1:13" x14ac:dyDescent="0.3">
      <c r="A30" s="44" t="s">
        <v>98</v>
      </c>
      <c r="B30" s="44" t="s">
        <v>98</v>
      </c>
      <c r="C30" s="44" t="s">
        <v>151</v>
      </c>
      <c r="D30" s="44" t="s">
        <v>162</v>
      </c>
      <c r="E30" s="44" t="s">
        <v>132</v>
      </c>
      <c r="F30" s="44" t="s">
        <v>139</v>
      </c>
      <c r="G30" s="44" t="s">
        <v>140</v>
      </c>
      <c r="H30">
        <v>0.09</v>
      </c>
      <c r="I30">
        <v>0</v>
      </c>
      <c r="J30" s="44" t="s">
        <v>98</v>
      </c>
      <c r="K30">
        <v>95.85</v>
      </c>
    </row>
    <row r="31" spans="1:13" x14ac:dyDescent="0.3">
      <c r="A31" s="44" t="s">
        <v>98</v>
      </c>
      <c r="B31" s="44" t="s">
        <v>98</v>
      </c>
      <c r="C31" s="44" t="s">
        <v>151</v>
      </c>
      <c r="D31" s="44" t="s">
        <v>162</v>
      </c>
      <c r="E31" s="44" t="s">
        <v>132</v>
      </c>
      <c r="F31" s="44" t="s">
        <v>147</v>
      </c>
      <c r="G31" s="44" t="s">
        <v>148</v>
      </c>
      <c r="H31">
        <v>0.06</v>
      </c>
      <c r="I31">
        <v>0</v>
      </c>
      <c r="J31" s="44" t="s">
        <v>98</v>
      </c>
      <c r="K31">
        <v>60</v>
      </c>
    </row>
    <row r="32" spans="1:13" x14ac:dyDescent="0.3">
      <c r="A32" s="44" t="s">
        <v>98</v>
      </c>
      <c r="B32" s="44" t="s">
        <v>98</v>
      </c>
      <c r="C32" s="44" t="s">
        <v>151</v>
      </c>
      <c r="D32" s="44" t="s">
        <v>163</v>
      </c>
      <c r="E32" s="44" t="s">
        <v>132</v>
      </c>
      <c r="F32" s="44" t="s">
        <v>133</v>
      </c>
      <c r="G32" s="44" t="s">
        <v>134</v>
      </c>
      <c r="H32">
        <v>0.04</v>
      </c>
      <c r="I32">
        <v>0</v>
      </c>
      <c r="J32" s="44" t="s">
        <v>98</v>
      </c>
      <c r="K32">
        <v>20</v>
      </c>
    </row>
    <row r="33" spans="1:11" x14ac:dyDescent="0.3">
      <c r="A33" s="44" t="s">
        <v>98</v>
      </c>
      <c r="B33" s="44" t="s">
        <v>98</v>
      </c>
      <c r="C33" s="44" t="s">
        <v>151</v>
      </c>
      <c r="D33" s="44" t="s">
        <v>163</v>
      </c>
      <c r="E33" s="44" t="s">
        <v>132</v>
      </c>
      <c r="F33" s="44" t="s">
        <v>137</v>
      </c>
      <c r="G33" s="44" t="s">
        <v>138</v>
      </c>
      <c r="H33">
        <v>0.55000000000000004</v>
      </c>
      <c r="I33">
        <v>0</v>
      </c>
      <c r="J33" s="44" t="s">
        <v>98</v>
      </c>
      <c r="K33">
        <v>1816.25</v>
      </c>
    </row>
    <row r="34" spans="1:11" x14ac:dyDescent="0.3">
      <c r="A34" s="44" t="s">
        <v>98</v>
      </c>
      <c r="B34" s="44" t="s">
        <v>98</v>
      </c>
      <c r="C34" s="44" t="s">
        <v>151</v>
      </c>
      <c r="D34" s="44" t="s">
        <v>163</v>
      </c>
      <c r="E34" s="44" t="s">
        <v>132</v>
      </c>
      <c r="F34" s="44" t="s">
        <v>139</v>
      </c>
      <c r="G34" s="44" t="s">
        <v>140</v>
      </c>
      <c r="H34">
        <v>0.69</v>
      </c>
      <c r="I34">
        <v>0</v>
      </c>
      <c r="J34" s="44" t="s">
        <v>98</v>
      </c>
      <c r="K34">
        <v>1780.65</v>
      </c>
    </row>
    <row r="35" spans="1:11" x14ac:dyDescent="0.3">
      <c r="A35" s="44" t="s">
        <v>98</v>
      </c>
      <c r="B35" s="44" t="s">
        <v>98</v>
      </c>
      <c r="C35" s="44" t="s">
        <v>151</v>
      </c>
      <c r="D35" s="44" t="s">
        <v>163</v>
      </c>
      <c r="E35" s="44" t="s">
        <v>132</v>
      </c>
      <c r="F35" s="44" t="s">
        <v>141</v>
      </c>
      <c r="G35" s="44" t="s">
        <v>142</v>
      </c>
      <c r="H35">
        <v>0.39</v>
      </c>
      <c r="I35">
        <v>0</v>
      </c>
      <c r="J35" s="44" t="s">
        <v>98</v>
      </c>
      <c r="K35">
        <v>195</v>
      </c>
    </row>
    <row r="36" spans="1:11" x14ac:dyDescent="0.3">
      <c r="A36" s="44" t="s">
        <v>98</v>
      </c>
      <c r="B36" s="44" t="s">
        <v>98</v>
      </c>
      <c r="C36" s="44" t="s">
        <v>151</v>
      </c>
      <c r="D36" s="44" t="s">
        <v>163</v>
      </c>
      <c r="E36" s="44" t="s">
        <v>132</v>
      </c>
      <c r="F36" s="44" t="s">
        <v>147</v>
      </c>
      <c r="G36" s="44" t="s">
        <v>148</v>
      </c>
      <c r="H36">
        <v>0.03</v>
      </c>
      <c r="I36">
        <v>0</v>
      </c>
      <c r="J36" s="44" t="s">
        <v>98</v>
      </c>
      <c r="K36">
        <v>30</v>
      </c>
    </row>
    <row r="37" spans="1:11" x14ac:dyDescent="0.3">
      <c r="A37" s="44" t="s">
        <v>98</v>
      </c>
      <c r="B37" s="44" t="s">
        <v>98</v>
      </c>
      <c r="C37" s="44" t="s">
        <v>151</v>
      </c>
      <c r="D37" s="44" t="s">
        <v>164</v>
      </c>
      <c r="E37" s="44" t="s">
        <v>132</v>
      </c>
      <c r="F37" s="44" t="s">
        <v>137</v>
      </c>
      <c r="G37" s="44" t="s">
        <v>138</v>
      </c>
      <c r="H37">
        <v>0.33</v>
      </c>
      <c r="I37">
        <v>0</v>
      </c>
      <c r="J37" s="44" t="s">
        <v>98</v>
      </c>
      <c r="K37">
        <v>1122</v>
      </c>
    </row>
    <row r="38" spans="1:11" x14ac:dyDescent="0.3">
      <c r="A38" s="44" t="s">
        <v>98</v>
      </c>
      <c r="B38" s="44" t="s">
        <v>98</v>
      </c>
      <c r="C38" s="44" t="s">
        <v>151</v>
      </c>
      <c r="D38" s="44" t="s">
        <v>164</v>
      </c>
      <c r="E38" s="44" t="s">
        <v>132</v>
      </c>
      <c r="F38" s="44" t="s">
        <v>139</v>
      </c>
      <c r="G38" s="44" t="s">
        <v>140</v>
      </c>
      <c r="H38">
        <v>1.54</v>
      </c>
      <c r="I38">
        <v>0</v>
      </c>
      <c r="J38" s="44" t="s">
        <v>98</v>
      </c>
      <c r="K38">
        <v>3466.1</v>
      </c>
    </row>
    <row r="39" spans="1:11" x14ac:dyDescent="0.3">
      <c r="A39" s="44" t="s">
        <v>98</v>
      </c>
      <c r="B39" s="44" t="s">
        <v>98</v>
      </c>
      <c r="C39" s="44" t="s">
        <v>151</v>
      </c>
      <c r="D39" s="44" t="s">
        <v>164</v>
      </c>
      <c r="E39" s="44" t="s">
        <v>132</v>
      </c>
      <c r="F39" s="44" t="s">
        <v>141</v>
      </c>
      <c r="G39" s="44" t="s">
        <v>142</v>
      </c>
      <c r="H39">
        <v>0.17</v>
      </c>
      <c r="I39">
        <v>0</v>
      </c>
      <c r="J39" s="44" t="s">
        <v>98</v>
      </c>
      <c r="K39">
        <v>85</v>
      </c>
    </row>
    <row r="40" spans="1:11" x14ac:dyDescent="0.3">
      <c r="A40" s="44" t="s">
        <v>98</v>
      </c>
      <c r="B40" s="44" t="s">
        <v>98</v>
      </c>
      <c r="C40" s="44" t="s">
        <v>151</v>
      </c>
      <c r="D40" s="44" t="s">
        <v>164</v>
      </c>
      <c r="E40" s="44" t="s">
        <v>132</v>
      </c>
      <c r="F40" s="44" t="s">
        <v>147</v>
      </c>
      <c r="G40" s="44" t="s">
        <v>148</v>
      </c>
      <c r="H40">
        <v>0.11</v>
      </c>
      <c r="I40">
        <v>0</v>
      </c>
      <c r="J40" s="44" t="s">
        <v>98</v>
      </c>
      <c r="K40">
        <v>111</v>
      </c>
    </row>
    <row r="41" spans="1:11" x14ac:dyDescent="0.3">
      <c r="A41" s="44" t="s">
        <v>98</v>
      </c>
      <c r="B41" s="44" t="s">
        <v>98</v>
      </c>
      <c r="C41" s="44" t="s">
        <v>151</v>
      </c>
      <c r="D41" s="44" t="s">
        <v>165</v>
      </c>
      <c r="E41" s="44" t="s">
        <v>132</v>
      </c>
      <c r="F41" s="44" t="s">
        <v>133</v>
      </c>
      <c r="G41" s="44" t="s">
        <v>134</v>
      </c>
      <c r="H41">
        <v>0.05</v>
      </c>
      <c r="I41">
        <v>0</v>
      </c>
      <c r="J41" s="44" t="s">
        <v>98</v>
      </c>
      <c r="K41">
        <v>500</v>
      </c>
    </row>
    <row r="42" spans="1:11" x14ac:dyDescent="0.3">
      <c r="A42" s="44" t="s">
        <v>98</v>
      </c>
      <c r="B42" s="44" t="s">
        <v>98</v>
      </c>
      <c r="C42" s="44" t="s">
        <v>151</v>
      </c>
      <c r="D42" s="44" t="s">
        <v>165</v>
      </c>
      <c r="E42" s="44" t="s">
        <v>132</v>
      </c>
      <c r="F42" s="44" t="s">
        <v>137</v>
      </c>
      <c r="G42" s="44" t="s">
        <v>138</v>
      </c>
      <c r="H42">
        <v>0.48</v>
      </c>
      <c r="I42">
        <v>0</v>
      </c>
      <c r="J42" s="44" t="s">
        <v>98</v>
      </c>
      <c r="K42">
        <v>1116</v>
      </c>
    </row>
    <row r="43" spans="1:11" x14ac:dyDescent="0.3">
      <c r="A43" s="44" t="s">
        <v>98</v>
      </c>
      <c r="B43" s="44" t="s">
        <v>98</v>
      </c>
      <c r="C43" s="44" t="s">
        <v>151</v>
      </c>
      <c r="D43" s="44" t="s">
        <v>165</v>
      </c>
      <c r="E43" s="44" t="s">
        <v>132</v>
      </c>
      <c r="F43" s="44" t="s">
        <v>139</v>
      </c>
      <c r="G43" s="44" t="s">
        <v>140</v>
      </c>
      <c r="H43">
        <v>2.5099999999999998</v>
      </c>
      <c r="I43">
        <v>0</v>
      </c>
      <c r="J43" s="44" t="s">
        <v>98</v>
      </c>
      <c r="K43">
        <v>3171.15</v>
      </c>
    </row>
    <row r="44" spans="1:11" x14ac:dyDescent="0.3">
      <c r="A44" s="44" t="s">
        <v>98</v>
      </c>
      <c r="B44" s="44" t="s">
        <v>98</v>
      </c>
      <c r="C44" s="44" t="s">
        <v>151</v>
      </c>
      <c r="D44" s="44" t="s">
        <v>165</v>
      </c>
      <c r="E44" s="44" t="s">
        <v>132</v>
      </c>
      <c r="F44" s="44" t="s">
        <v>141</v>
      </c>
      <c r="G44" s="44" t="s">
        <v>142</v>
      </c>
      <c r="H44">
        <v>0.63</v>
      </c>
      <c r="I44">
        <v>0</v>
      </c>
      <c r="J44" s="44" t="s">
        <v>98</v>
      </c>
      <c r="K44">
        <v>315</v>
      </c>
    </row>
    <row r="45" spans="1:11" x14ac:dyDescent="0.3">
      <c r="A45" s="44" t="s">
        <v>98</v>
      </c>
      <c r="B45" s="44" t="s">
        <v>98</v>
      </c>
      <c r="C45" s="44" t="s">
        <v>151</v>
      </c>
      <c r="D45" s="44" t="s">
        <v>165</v>
      </c>
      <c r="E45" s="44" t="s">
        <v>132</v>
      </c>
      <c r="F45" s="44" t="s">
        <v>143</v>
      </c>
      <c r="G45" s="44" t="s">
        <v>144</v>
      </c>
      <c r="H45">
        <v>0.32</v>
      </c>
      <c r="I45">
        <v>0</v>
      </c>
      <c r="J45" s="44" t="s">
        <v>98</v>
      </c>
      <c r="K45">
        <v>128</v>
      </c>
    </row>
    <row r="46" spans="1:11" x14ac:dyDescent="0.3">
      <c r="A46" s="44" t="s">
        <v>98</v>
      </c>
      <c r="B46" s="44" t="s">
        <v>98</v>
      </c>
      <c r="C46" s="44" t="s">
        <v>151</v>
      </c>
      <c r="D46" s="44" t="s">
        <v>165</v>
      </c>
      <c r="E46" s="44" t="s">
        <v>132</v>
      </c>
      <c r="F46" s="44" t="s">
        <v>147</v>
      </c>
      <c r="G46" s="44" t="s">
        <v>148</v>
      </c>
      <c r="H46">
        <v>0.33</v>
      </c>
      <c r="I46">
        <v>0</v>
      </c>
      <c r="J46" s="44" t="s">
        <v>98</v>
      </c>
      <c r="K46">
        <v>365</v>
      </c>
    </row>
    <row r="47" spans="1:11" x14ac:dyDescent="0.3">
      <c r="A47" s="44" t="s">
        <v>98</v>
      </c>
      <c r="B47" s="44" t="s">
        <v>98</v>
      </c>
      <c r="C47" s="44" t="s">
        <v>151</v>
      </c>
      <c r="D47" s="44" t="s">
        <v>166</v>
      </c>
      <c r="E47" s="44" t="s">
        <v>132</v>
      </c>
      <c r="F47" s="44" t="s">
        <v>137</v>
      </c>
      <c r="G47" s="44" t="s">
        <v>138</v>
      </c>
      <c r="H47">
        <v>0.63</v>
      </c>
      <c r="I47">
        <v>0</v>
      </c>
      <c r="J47" s="44" t="s">
        <v>98</v>
      </c>
      <c r="K47">
        <v>2142</v>
      </c>
    </row>
    <row r="48" spans="1:11" x14ac:dyDescent="0.3">
      <c r="A48" s="44" t="s">
        <v>98</v>
      </c>
      <c r="B48" s="44" t="s">
        <v>98</v>
      </c>
      <c r="C48" s="44" t="s">
        <v>151</v>
      </c>
      <c r="D48" s="44" t="s">
        <v>167</v>
      </c>
      <c r="E48" s="44" t="s">
        <v>132</v>
      </c>
      <c r="F48" s="44" t="s">
        <v>137</v>
      </c>
      <c r="G48" s="44" t="s">
        <v>138</v>
      </c>
      <c r="H48">
        <v>0.05</v>
      </c>
      <c r="I48">
        <v>0</v>
      </c>
      <c r="J48" s="44" t="s">
        <v>98</v>
      </c>
      <c r="K48">
        <v>116.25</v>
      </c>
    </row>
    <row r="49" spans="1:11" x14ac:dyDescent="0.3">
      <c r="A49" s="44" t="s">
        <v>98</v>
      </c>
      <c r="B49" s="44" t="s">
        <v>98</v>
      </c>
      <c r="C49" s="44" t="s">
        <v>151</v>
      </c>
      <c r="D49" s="44" t="s">
        <v>167</v>
      </c>
      <c r="E49" s="44" t="s">
        <v>132</v>
      </c>
      <c r="F49" s="44" t="s">
        <v>139</v>
      </c>
      <c r="G49" s="44" t="s">
        <v>140</v>
      </c>
      <c r="H49">
        <v>0.18</v>
      </c>
      <c r="I49">
        <v>0</v>
      </c>
      <c r="J49" s="44" t="s">
        <v>98</v>
      </c>
      <c r="K49">
        <v>374.3</v>
      </c>
    </row>
    <row r="50" spans="1:11" x14ac:dyDescent="0.3">
      <c r="A50" s="44" t="s">
        <v>98</v>
      </c>
      <c r="B50" s="44" t="s">
        <v>98</v>
      </c>
      <c r="C50" s="44" t="s">
        <v>151</v>
      </c>
      <c r="D50" s="44" t="s">
        <v>167</v>
      </c>
      <c r="E50" s="44" t="s">
        <v>132</v>
      </c>
      <c r="F50" s="44" t="s">
        <v>141</v>
      </c>
      <c r="G50" s="44" t="s">
        <v>142</v>
      </c>
      <c r="H50">
        <v>0.27</v>
      </c>
      <c r="I50">
        <v>0</v>
      </c>
      <c r="J50" s="44" t="s">
        <v>98</v>
      </c>
      <c r="K50">
        <v>135</v>
      </c>
    </row>
    <row r="51" spans="1:11" x14ac:dyDescent="0.3">
      <c r="A51" s="44" t="s">
        <v>98</v>
      </c>
      <c r="B51" s="44" t="s">
        <v>98</v>
      </c>
      <c r="C51" s="44" t="s">
        <v>151</v>
      </c>
      <c r="D51" s="44" t="s">
        <v>167</v>
      </c>
      <c r="E51" s="44" t="s">
        <v>132</v>
      </c>
      <c r="F51" s="44" t="s">
        <v>147</v>
      </c>
      <c r="G51" s="44" t="s">
        <v>148</v>
      </c>
      <c r="H51">
        <v>0.14000000000000001</v>
      </c>
      <c r="I51">
        <v>0</v>
      </c>
      <c r="J51" s="44" t="s">
        <v>98</v>
      </c>
      <c r="K51">
        <v>160</v>
      </c>
    </row>
    <row r="52" spans="1:11" x14ac:dyDescent="0.3">
      <c r="A52" s="44" t="s">
        <v>98</v>
      </c>
      <c r="B52" s="44" t="s">
        <v>98</v>
      </c>
      <c r="C52" s="44" t="s">
        <v>151</v>
      </c>
      <c r="D52" s="44" t="s">
        <v>168</v>
      </c>
      <c r="E52" s="44" t="s">
        <v>132</v>
      </c>
      <c r="F52" s="44" t="s">
        <v>137</v>
      </c>
      <c r="G52" s="44" t="s">
        <v>138</v>
      </c>
      <c r="H52">
        <v>2.67</v>
      </c>
      <c r="I52">
        <v>0</v>
      </c>
      <c r="J52" s="44" t="s">
        <v>98</v>
      </c>
      <c r="K52">
        <v>9078</v>
      </c>
    </row>
    <row r="53" spans="1:11" x14ac:dyDescent="0.3">
      <c r="A53" s="44" t="s">
        <v>98</v>
      </c>
      <c r="B53" s="44" t="s">
        <v>98</v>
      </c>
      <c r="C53" s="44" t="s">
        <v>151</v>
      </c>
      <c r="D53" s="44" t="s">
        <v>168</v>
      </c>
      <c r="E53" s="44" t="s">
        <v>132</v>
      </c>
      <c r="F53" s="44" t="s">
        <v>139</v>
      </c>
      <c r="G53" s="44" t="s">
        <v>140</v>
      </c>
      <c r="H53">
        <v>1.81</v>
      </c>
      <c r="I53">
        <v>0</v>
      </c>
      <c r="J53" s="44" t="s">
        <v>98</v>
      </c>
      <c r="K53">
        <v>4168.6499999999996</v>
      </c>
    </row>
    <row r="54" spans="1:11" x14ac:dyDescent="0.3">
      <c r="A54" s="44" t="s">
        <v>98</v>
      </c>
      <c r="B54" s="44" t="s">
        <v>98</v>
      </c>
      <c r="C54" s="44" t="s">
        <v>151</v>
      </c>
      <c r="D54" s="44" t="s">
        <v>168</v>
      </c>
      <c r="E54" s="44" t="s">
        <v>132</v>
      </c>
      <c r="F54" s="44" t="s">
        <v>147</v>
      </c>
      <c r="G54" s="44" t="s">
        <v>148</v>
      </c>
      <c r="H54">
        <v>0.02</v>
      </c>
      <c r="I54">
        <v>0</v>
      </c>
      <c r="J54" s="44" t="s">
        <v>98</v>
      </c>
      <c r="K54">
        <v>30</v>
      </c>
    </row>
    <row r="55" spans="1:11" x14ac:dyDescent="0.3">
      <c r="A55" s="44" t="s">
        <v>98</v>
      </c>
      <c r="B55" s="44" t="s">
        <v>98</v>
      </c>
      <c r="C55" s="44" t="s">
        <v>151</v>
      </c>
      <c r="D55" s="44" t="s">
        <v>169</v>
      </c>
      <c r="E55" s="44" t="s">
        <v>132</v>
      </c>
      <c r="F55" s="44" t="s">
        <v>137</v>
      </c>
      <c r="G55" s="44" t="s">
        <v>138</v>
      </c>
      <c r="H55">
        <v>3.3</v>
      </c>
      <c r="I55">
        <v>0</v>
      </c>
      <c r="J55" s="44" t="s">
        <v>98</v>
      </c>
      <c r="K55">
        <v>10360</v>
      </c>
    </row>
    <row r="56" spans="1:11" x14ac:dyDescent="0.3">
      <c r="A56" s="44" t="s">
        <v>98</v>
      </c>
      <c r="B56" s="44" t="s">
        <v>98</v>
      </c>
      <c r="C56" s="44" t="s">
        <v>151</v>
      </c>
      <c r="D56" s="44" t="s">
        <v>169</v>
      </c>
      <c r="E56" s="44" t="s">
        <v>132</v>
      </c>
      <c r="F56" s="44" t="s">
        <v>139</v>
      </c>
      <c r="G56" s="44" t="s">
        <v>140</v>
      </c>
      <c r="H56">
        <v>0.57999999999999996</v>
      </c>
      <c r="I56">
        <v>0</v>
      </c>
      <c r="J56" s="44" t="s">
        <v>98</v>
      </c>
      <c r="K56">
        <v>1364.7</v>
      </c>
    </row>
    <row r="57" spans="1:11" x14ac:dyDescent="0.3">
      <c r="A57" s="44" t="s">
        <v>98</v>
      </c>
      <c r="B57" s="44" t="s">
        <v>98</v>
      </c>
      <c r="C57" s="44" t="s">
        <v>151</v>
      </c>
      <c r="D57" s="44" t="s">
        <v>169</v>
      </c>
      <c r="E57" s="44" t="s">
        <v>132</v>
      </c>
      <c r="F57" s="44" t="s">
        <v>141</v>
      </c>
      <c r="G57" s="44" t="s">
        <v>142</v>
      </c>
      <c r="H57">
        <v>0.12</v>
      </c>
      <c r="I57">
        <v>0</v>
      </c>
      <c r="J57" s="44" t="s">
        <v>98</v>
      </c>
      <c r="K57">
        <v>60</v>
      </c>
    </row>
    <row r="58" spans="1:11" x14ac:dyDescent="0.3">
      <c r="A58" s="44" t="s">
        <v>98</v>
      </c>
      <c r="B58" s="44" t="s">
        <v>98</v>
      </c>
      <c r="C58" s="44" t="s">
        <v>151</v>
      </c>
      <c r="D58" s="44" t="s">
        <v>169</v>
      </c>
      <c r="E58" s="44" t="s">
        <v>132</v>
      </c>
      <c r="F58" s="44" t="s">
        <v>143</v>
      </c>
      <c r="G58" s="44" t="s">
        <v>144</v>
      </c>
      <c r="H58">
        <v>7.0000000000000007E-2</v>
      </c>
      <c r="I58">
        <v>0</v>
      </c>
      <c r="J58" s="44" t="s">
        <v>98</v>
      </c>
      <c r="K58">
        <v>28</v>
      </c>
    </row>
    <row r="59" spans="1:11" x14ac:dyDescent="0.3">
      <c r="A59" s="44" t="s">
        <v>98</v>
      </c>
      <c r="B59" s="44" t="s">
        <v>98</v>
      </c>
      <c r="C59" s="44" t="s">
        <v>151</v>
      </c>
      <c r="D59" s="44" t="s">
        <v>169</v>
      </c>
      <c r="E59" s="44" t="s">
        <v>132</v>
      </c>
      <c r="F59" s="44" t="s">
        <v>147</v>
      </c>
      <c r="G59" s="44" t="s">
        <v>148</v>
      </c>
      <c r="H59">
        <v>0.12</v>
      </c>
      <c r="I59">
        <v>0</v>
      </c>
      <c r="J59" s="44" t="s">
        <v>98</v>
      </c>
      <c r="K59">
        <v>115</v>
      </c>
    </row>
    <row r="60" spans="1:11" x14ac:dyDescent="0.3">
      <c r="A60" s="44" t="s">
        <v>98</v>
      </c>
      <c r="B60" s="44" t="s">
        <v>98</v>
      </c>
      <c r="C60" s="44" t="s">
        <v>151</v>
      </c>
      <c r="D60" s="44" t="s">
        <v>170</v>
      </c>
      <c r="E60" s="44" t="s">
        <v>132</v>
      </c>
      <c r="F60" s="44" t="s">
        <v>137</v>
      </c>
      <c r="G60" s="44" t="s">
        <v>138</v>
      </c>
      <c r="H60">
        <v>0.26</v>
      </c>
      <c r="I60">
        <v>0</v>
      </c>
      <c r="J60" s="44" t="s">
        <v>98</v>
      </c>
      <c r="K60">
        <v>884</v>
      </c>
    </row>
    <row r="61" spans="1:11" x14ac:dyDescent="0.3">
      <c r="A61" s="44" t="s">
        <v>98</v>
      </c>
      <c r="B61" s="44" t="s">
        <v>98</v>
      </c>
      <c r="C61" s="44" t="s">
        <v>151</v>
      </c>
      <c r="D61" s="44" t="s">
        <v>170</v>
      </c>
      <c r="E61" s="44" t="s">
        <v>132</v>
      </c>
      <c r="F61" s="44" t="s">
        <v>139</v>
      </c>
      <c r="G61" s="44" t="s">
        <v>140</v>
      </c>
      <c r="H61">
        <v>0.68</v>
      </c>
      <c r="I61">
        <v>0</v>
      </c>
      <c r="J61" s="44" t="s">
        <v>98</v>
      </c>
      <c r="K61">
        <v>1770</v>
      </c>
    </row>
    <row r="62" spans="1:11" x14ac:dyDescent="0.3">
      <c r="A62" s="44" t="s">
        <v>98</v>
      </c>
      <c r="B62" s="44" t="s">
        <v>98</v>
      </c>
      <c r="C62" s="44" t="s">
        <v>151</v>
      </c>
      <c r="D62" s="44" t="s">
        <v>170</v>
      </c>
      <c r="E62" s="44" t="s">
        <v>132</v>
      </c>
      <c r="F62" s="44" t="s">
        <v>141</v>
      </c>
      <c r="G62" s="44" t="s">
        <v>142</v>
      </c>
      <c r="H62">
        <v>1.33</v>
      </c>
      <c r="I62">
        <v>0</v>
      </c>
      <c r="J62" s="44" t="s">
        <v>98</v>
      </c>
      <c r="K62">
        <v>665</v>
      </c>
    </row>
    <row r="63" spans="1:11" x14ac:dyDescent="0.3">
      <c r="A63" s="44" t="s">
        <v>98</v>
      </c>
      <c r="B63" s="44" t="s">
        <v>98</v>
      </c>
      <c r="C63" s="44" t="s">
        <v>151</v>
      </c>
      <c r="D63" s="44" t="s">
        <v>170</v>
      </c>
      <c r="E63" s="44" t="s">
        <v>132</v>
      </c>
      <c r="F63" s="44" t="s">
        <v>147</v>
      </c>
      <c r="G63" s="44" t="s">
        <v>148</v>
      </c>
      <c r="H63">
        <v>0.02</v>
      </c>
      <c r="I63">
        <v>0</v>
      </c>
      <c r="J63" s="44" t="s">
        <v>98</v>
      </c>
      <c r="K63">
        <v>26</v>
      </c>
    </row>
    <row r="64" spans="1:11" x14ac:dyDescent="0.3">
      <c r="A64" s="44" t="s">
        <v>98</v>
      </c>
      <c r="B64" s="44" t="s">
        <v>98</v>
      </c>
      <c r="C64" s="44" t="s">
        <v>151</v>
      </c>
      <c r="D64" s="44" t="s">
        <v>171</v>
      </c>
      <c r="E64" s="44" t="s">
        <v>132</v>
      </c>
      <c r="F64" s="44" t="s">
        <v>137</v>
      </c>
      <c r="G64" s="44" t="s">
        <v>138</v>
      </c>
      <c r="H64">
        <v>3.92</v>
      </c>
      <c r="I64">
        <v>0</v>
      </c>
      <c r="J64" s="44" t="s">
        <v>98</v>
      </c>
      <c r="K64">
        <v>11102.75</v>
      </c>
    </row>
    <row r="65" spans="1:11" x14ac:dyDescent="0.3">
      <c r="A65" s="44" t="s">
        <v>98</v>
      </c>
      <c r="B65" s="44" t="s">
        <v>98</v>
      </c>
      <c r="C65" s="44" t="s">
        <v>151</v>
      </c>
      <c r="D65" s="44" t="s">
        <v>171</v>
      </c>
      <c r="E65" s="44" t="s">
        <v>132</v>
      </c>
      <c r="F65" s="44" t="s">
        <v>139</v>
      </c>
      <c r="G65" s="44" t="s">
        <v>140</v>
      </c>
      <c r="H65">
        <v>4.24</v>
      </c>
      <c r="I65">
        <v>0</v>
      </c>
      <c r="J65" s="44" t="s">
        <v>98</v>
      </c>
      <c r="K65">
        <v>6574</v>
      </c>
    </row>
    <row r="66" spans="1:11" x14ac:dyDescent="0.3">
      <c r="A66" s="44" t="s">
        <v>98</v>
      </c>
      <c r="B66" s="44" t="s">
        <v>98</v>
      </c>
      <c r="C66" s="44" t="s">
        <v>151</v>
      </c>
      <c r="D66" s="44" t="s">
        <v>171</v>
      </c>
      <c r="E66" s="44" t="s">
        <v>132</v>
      </c>
      <c r="F66" s="44" t="s">
        <v>141</v>
      </c>
      <c r="G66" s="44" t="s">
        <v>142</v>
      </c>
      <c r="H66">
        <v>1.1100000000000001</v>
      </c>
      <c r="I66">
        <v>0</v>
      </c>
      <c r="J66" s="44" t="s">
        <v>98</v>
      </c>
      <c r="K66">
        <v>555</v>
      </c>
    </row>
    <row r="67" spans="1:11" x14ac:dyDescent="0.3">
      <c r="A67" s="44" t="s">
        <v>98</v>
      </c>
      <c r="B67" s="44" t="s">
        <v>98</v>
      </c>
      <c r="C67" s="44" t="s">
        <v>151</v>
      </c>
      <c r="D67" s="44" t="s">
        <v>171</v>
      </c>
      <c r="E67" s="44" t="s">
        <v>132</v>
      </c>
      <c r="F67" s="44" t="s">
        <v>143</v>
      </c>
      <c r="G67" s="44" t="s">
        <v>144</v>
      </c>
      <c r="H67">
        <v>0.1</v>
      </c>
      <c r="I67">
        <v>0</v>
      </c>
      <c r="J67" s="44" t="s">
        <v>98</v>
      </c>
      <c r="K67">
        <v>40</v>
      </c>
    </row>
    <row r="68" spans="1:11" x14ac:dyDescent="0.3">
      <c r="A68" s="44" t="s">
        <v>98</v>
      </c>
      <c r="B68" s="44" t="s">
        <v>98</v>
      </c>
      <c r="C68" s="44" t="s">
        <v>151</v>
      </c>
      <c r="D68" s="44" t="s">
        <v>172</v>
      </c>
      <c r="E68" s="44" t="s">
        <v>132</v>
      </c>
      <c r="F68" s="44" t="s">
        <v>135</v>
      </c>
      <c r="G68" s="44" t="s">
        <v>159</v>
      </c>
      <c r="H68">
        <v>0.21</v>
      </c>
      <c r="I68">
        <v>0</v>
      </c>
      <c r="J68" s="44" t="s">
        <v>98</v>
      </c>
      <c r="K68">
        <v>191.1</v>
      </c>
    </row>
    <row r="69" spans="1:11" x14ac:dyDescent="0.3">
      <c r="A69" s="44" t="s">
        <v>98</v>
      </c>
      <c r="B69" s="44" t="s">
        <v>98</v>
      </c>
      <c r="C69" s="44" t="s">
        <v>151</v>
      </c>
      <c r="D69" s="44" t="s">
        <v>172</v>
      </c>
      <c r="E69" s="44" t="s">
        <v>132</v>
      </c>
      <c r="F69" s="44" t="s">
        <v>137</v>
      </c>
      <c r="G69" s="44" t="s">
        <v>138</v>
      </c>
      <c r="H69">
        <v>0.56999999999999995</v>
      </c>
      <c r="I69">
        <v>0</v>
      </c>
      <c r="J69" s="44" t="s">
        <v>98</v>
      </c>
      <c r="K69">
        <v>1938</v>
      </c>
    </row>
    <row r="70" spans="1:11" x14ac:dyDescent="0.3">
      <c r="A70" s="44" t="s">
        <v>98</v>
      </c>
      <c r="B70" s="44" t="s">
        <v>98</v>
      </c>
      <c r="C70" s="44" t="s">
        <v>151</v>
      </c>
      <c r="D70" s="44" t="s">
        <v>172</v>
      </c>
      <c r="E70" s="44" t="s">
        <v>132</v>
      </c>
      <c r="F70" s="44" t="s">
        <v>137</v>
      </c>
      <c r="G70" s="44" t="s">
        <v>138</v>
      </c>
      <c r="H70">
        <v>2.94</v>
      </c>
      <c r="I70">
        <v>0</v>
      </c>
      <c r="J70" s="44" t="s">
        <v>98</v>
      </c>
      <c r="K70">
        <v>6835.5</v>
      </c>
    </row>
    <row r="71" spans="1:11" x14ac:dyDescent="0.3">
      <c r="A71" s="44" t="s">
        <v>98</v>
      </c>
      <c r="B71" s="44" t="s">
        <v>98</v>
      </c>
      <c r="C71" s="44" t="s">
        <v>151</v>
      </c>
      <c r="D71" s="44" t="s">
        <v>172</v>
      </c>
      <c r="E71" s="44" t="s">
        <v>132</v>
      </c>
      <c r="F71" s="44" t="s">
        <v>139</v>
      </c>
      <c r="G71" s="44" t="s">
        <v>140</v>
      </c>
      <c r="H71">
        <v>0.62</v>
      </c>
      <c r="I71">
        <v>0</v>
      </c>
      <c r="J71" s="44" t="s">
        <v>98</v>
      </c>
      <c r="K71">
        <v>809.7</v>
      </c>
    </row>
    <row r="72" spans="1:11" x14ac:dyDescent="0.3">
      <c r="A72" s="44" t="s">
        <v>98</v>
      </c>
      <c r="B72" s="44" t="s">
        <v>98</v>
      </c>
      <c r="C72" s="44" t="s">
        <v>151</v>
      </c>
      <c r="D72" s="44" t="s">
        <v>172</v>
      </c>
      <c r="E72" s="44" t="s">
        <v>132</v>
      </c>
      <c r="F72" s="44" t="s">
        <v>141</v>
      </c>
      <c r="G72" s="44" t="s">
        <v>142</v>
      </c>
      <c r="H72">
        <v>0.31</v>
      </c>
      <c r="I72">
        <v>0</v>
      </c>
      <c r="J72" s="44" t="s">
        <v>98</v>
      </c>
      <c r="K72">
        <v>155</v>
      </c>
    </row>
    <row r="73" spans="1:11" x14ac:dyDescent="0.3">
      <c r="A73" s="44" t="s">
        <v>98</v>
      </c>
      <c r="B73" s="44" t="s">
        <v>98</v>
      </c>
      <c r="C73" s="44" t="s">
        <v>151</v>
      </c>
      <c r="D73" s="44" t="s">
        <v>172</v>
      </c>
      <c r="E73" s="44" t="s">
        <v>132</v>
      </c>
      <c r="F73" s="44" t="s">
        <v>143</v>
      </c>
      <c r="G73" s="44" t="s">
        <v>144</v>
      </c>
      <c r="H73">
        <v>0.39</v>
      </c>
      <c r="I73">
        <v>0</v>
      </c>
      <c r="J73" s="44" t="s">
        <v>98</v>
      </c>
      <c r="K73">
        <v>156</v>
      </c>
    </row>
    <row r="74" spans="1:11" x14ac:dyDescent="0.3">
      <c r="A74" s="44" t="s">
        <v>98</v>
      </c>
      <c r="B74" s="44" t="s">
        <v>98</v>
      </c>
      <c r="C74" s="44" t="s">
        <v>151</v>
      </c>
      <c r="D74" s="44" t="s">
        <v>172</v>
      </c>
      <c r="E74" s="44" t="s">
        <v>132</v>
      </c>
      <c r="F74" s="44" t="s">
        <v>147</v>
      </c>
      <c r="G74" s="44" t="s">
        <v>148</v>
      </c>
      <c r="H74">
        <v>0.61</v>
      </c>
      <c r="I74">
        <v>0</v>
      </c>
      <c r="J74" s="44" t="s">
        <v>98</v>
      </c>
      <c r="K74">
        <v>628</v>
      </c>
    </row>
    <row r="75" spans="1:11" x14ac:dyDescent="0.3">
      <c r="A75" s="44" t="s">
        <v>98</v>
      </c>
      <c r="B75" s="44" t="s">
        <v>98</v>
      </c>
      <c r="C75" s="44" t="s">
        <v>151</v>
      </c>
      <c r="D75" s="44" t="s">
        <v>173</v>
      </c>
      <c r="E75" s="44" t="s">
        <v>132</v>
      </c>
      <c r="F75" s="44" t="s">
        <v>135</v>
      </c>
      <c r="G75" s="44" t="s">
        <v>159</v>
      </c>
      <c r="H75">
        <v>0.02</v>
      </c>
      <c r="I75">
        <v>0</v>
      </c>
      <c r="J75" s="44" t="s">
        <v>98</v>
      </c>
      <c r="K75">
        <v>10</v>
      </c>
    </row>
    <row r="76" spans="1:11" x14ac:dyDescent="0.3">
      <c r="A76" s="44" t="s">
        <v>98</v>
      </c>
      <c r="B76" s="44" t="s">
        <v>98</v>
      </c>
      <c r="C76" s="44" t="s">
        <v>151</v>
      </c>
      <c r="D76" s="44" t="s">
        <v>173</v>
      </c>
      <c r="E76" s="44" t="s">
        <v>132</v>
      </c>
      <c r="F76" s="44" t="s">
        <v>137</v>
      </c>
      <c r="G76" s="44" t="s">
        <v>138</v>
      </c>
      <c r="H76">
        <v>3.85</v>
      </c>
      <c r="I76">
        <v>0</v>
      </c>
      <c r="J76" s="44" t="s">
        <v>98</v>
      </c>
      <c r="K76">
        <v>10854</v>
      </c>
    </row>
    <row r="77" spans="1:11" x14ac:dyDescent="0.3">
      <c r="A77" s="44" t="s">
        <v>98</v>
      </c>
      <c r="B77" s="44" t="s">
        <v>98</v>
      </c>
      <c r="C77" s="44" t="s">
        <v>151</v>
      </c>
      <c r="D77" s="44" t="s">
        <v>173</v>
      </c>
      <c r="E77" s="44" t="s">
        <v>132</v>
      </c>
      <c r="F77" s="44" t="s">
        <v>139</v>
      </c>
      <c r="G77" s="44" t="s">
        <v>140</v>
      </c>
      <c r="H77">
        <v>2.1</v>
      </c>
      <c r="I77">
        <v>0</v>
      </c>
      <c r="J77" s="44" t="s">
        <v>98</v>
      </c>
      <c r="K77">
        <v>2502.1</v>
      </c>
    </row>
    <row r="78" spans="1:11" x14ac:dyDescent="0.3">
      <c r="A78" s="44" t="s">
        <v>98</v>
      </c>
      <c r="B78" s="44" t="s">
        <v>98</v>
      </c>
      <c r="C78" s="44" t="s">
        <v>151</v>
      </c>
      <c r="D78" s="44" t="s">
        <v>173</v>
      </c>
      <c r="E78" s="44" t="s">
        <v>132</v>
      </c>
      <c r="F78" s="44" t="s">
        <v>141</v>
      </c>
      <c r="G78" s="44" t="s">
        <v>142</v>
      </c>
      <c r="H78">
        <v>0.40500000000000003</v>
      </c>
      <c r="I78">
        <v>0</v>
      </c>
      <c r="J78" s="44" t="s">
        <v>98</v>
      </c>
      <c r="K78">
        <v>202.5</v>
      </c>
    </row>
    <row r="79" spans="1:11" x14ac:dyDescent="0.3">
      <c r="A79" s="44" t="s">
        <v>98</v>
      </c>
      <c r="B79" s="44" t="s">
        <v>98</v>
      </c>
      <c r="C79" s="44" t="s">
        <v>151</v>
      </c>
      <c r="D79" s="44" t="s">
        <v>173</v>
      </c>
      <c r="E79" s="44" t="s">
        <v>132</v>
      </c>
      <c r="F79" s="44" t="s">
        <v>147</v>
      </c>
      <c r="G79" s="44" t="s">
        <v>148</v>
      </c>
      <c r="H79">
        <v>1.095</v>
      </c>
      <c r="I79">
        <v>0</v>
      </c>
      <c r="J79" s="44" t="s">
        <v>98</v>
      </c>
      <c r="K79">
        <v>1448.5</v>
      </c>
    </row>
    <row r="80" spans="1:11" x14ac:dyDescent="0.3">
      <c r="A80" s="44" t="s">
        <v>98</v>
      </c>
      <c r="B80" s="44" t="s">
        <v>98</v>
      </c>
      <c r="C80" s="44" t="s">
        <v>151</v>
      </c>
      <c r="D80" s="44" t="s">
        <v>174</v>
      </c>
      <c r="E80" s="44" t="s">
        <v>132</v>
      </c>
      <c r="F80" s="44" t="s">
        <v>155</v>
      </c>
      <c r="G80" s="44" t="s">
        <v>156</v>
      </c>
      <c r="H80">
        <v>0.04</v>
      </c>
      <c r="I80">
        <v>0</v>
      </c>
      <c r="J80" s="44" t="s">
        <v>98</v>
      </c>
      <c r="K80">
        <v>160</v>
      </c>
    </row>
    <row r="81" spans="1:11" x14ac:dyDescent="0.3">
      <c r="A81" s="44" t="s">
        <v>98</v>
      </c>
      <c r="B81" s="44" t="s">
        <v>98</v>
      </c>
      <c r="C81" s="44" t="s">
        <v>151</v>
      </c>
      <c r="D81" s="44" t="s">
        <v>174</v>
      </c>
      <c r="E81" s="44" t="s">
        <v>132</v>
      </c>
      <c r="F81" s="44" t="s">
        <v>133</v>
      </c>
      <c r="G81" s="44" t="s">
        <v>134</v>
      </c>
      <c r="H81">
        <v>0.05</v>
      </c>
      <c r="I81">
        <v>0</v>
      </c>
      <c r="J81" s="44" t="s">
        <v>98</v>
      </c>
      <c r="K81">
        <v>25</v>
      </c>
    </row>
    <row r="82" spans="1:11" x14ac:dyDescent="0.3">
      <c r="A82" s="44" t="s">
        <v>98</v>
      </c>
      <c r="B82" s="44" t="s">
        <v>98</v>
      </c>
      <c r="C82" s="44" t="s">
        <v>151</v>
      </c>
      <c r="D82" s="44" t="s">
        <v>174</v>
      </c>
      <c r="E82" s="44" t="s">
        <v>132</v>
      </c>
      <c r="F82" s="44" t="s">
        <v>135</v>
      </c>
      <c r="G82" s="44" t="s">
        <v>136</v>
      </c>
      <c r="H82">
        <v>0.22</v>
      </c>
      <c r="I82">
        <v>0</v>
      </c>
      <c r="J82" s="44" t="s">
        <v>98</v>
      </c>
      <c r="K82">
        <v>200.2</v>
      </c>
    </row>
    <row r="83" spans="1:11" x14ac:dyDescent="0.3">
      <c r="A83" s="44" t="s">
        <v>98</v>
      </c>
      <c r="B83" s="44" t="s">
        <v>98</v>
      </c>
      <c r="C83" s="44" t="s">
        <v>151</v>
      </c>
      <c r="D83" s="44" t="s">
        <v>174</v>
      </c>
      <c r="E83" s="44" t="s">
        <v>132</v>
      </c>
      <c r="F83" s="44" t="s">
        <v>135</v>
      </c>
      <c r="G83" s="44" t="s">
        <v>159</v>
      </c>
      <c r="H83">
        <v>0.06</v>
      </c>
      <c r="I83">
        <v>0</v>
      </c>
      <c r="J83" s="44" t="s">
        <v>98</v>
      </c>
      <c r="K83">
        <v>54.6</v>
      </c>
    </row>
    <row r="84" spans="1:11" x14ac:dyDescent="0.3">
      <c r="A84" s="44" t="s">
        <v>98</v>
      </c>
      <c r="B84" s="44" t="s">
        <v>98</v>
      </c>
      <c r="C84" s="44" t="s">
        <v>151</v>
      </c>
      <c r="D84" s="44" t="s">
        <v>174</v>
      </c>
      <c r="E84" s="44" t="s">
        <v>132</v>
      </c>
      <c r="F84" s="44" t="s">
        <v>137</v>
      </c>
      <c r="G84" s="44" t="s">
        <v>138</v>
      </c>
      <c r="H84">
        <v>3.06</v>
      </c>
      <c r="I84">
        <v>0</v>
      </c>
      <c r="J84" s="44" t="s">
        <v>98</v>
      </c>
      <c r="K84">
        <v>10404</v>
      </c>
    </row>
    <row r="85" spans="1:11" x14ac:dyDescent="0.3">
      <c r="A85" s="44" t="s">
        <v>98</v>
      </c>
      <c r="B85" s="44" t="s">
        <v>98</v>
      </c>
      <c r="C85" s="44" t="s">
        <v>151</v>
      </c>
      <c r="D85" s="44" t="s">
        <v>174</v>
      </c>
      <c r="E85" s="44" t="s">
        <v>132</v>
      </c>
      <c r="F85" s="44" t="s">
        <v>139</v>
      </c>
      <c r="G85" s="44" t="s">
        <v>140</v>
      </c>
      <c r="H85">
        <v>2.33</v>
      </c>
      <c r="I85">
        <v>0</v>
      </c>
      <c r="J85" s="44" t="s">
        <v>98</v>
      </c>
      <c r="K85">
        <v>2747.05</v>
      </c>
    </row>
    <row r="86" spans="1:11" x14ac:dyDescent="0.3">
      <c r="A86" s="44" t="s">
        <v>98</v>
      </c>
      <c r="B86" s="44" t="s">
        <v>98</v>
      </c>
      <c r="C86" s="44" t="s">
        <v>151</v>
      </c>
      <c r="D86" s="44" t="s">
        <v>174</v>
      </c>
      <c r="E86" s="44" t="s">
        <v>132</v>
      </c>
      <c r="F86" s="44" t="s">
        <v>147</v>
      </c>
      <c r="G86" s="44" t="s">
        <v>148</v>
      </c>
      <c r="H86">
        <v>0.35</v>
      </c>
      <c r="I86">
        <v>0</v>
      </c>
      <c r="J86" s="44" t="s">
        <v>98</v>
      </c>
      <c r="K86">
        <v>436</v>
      </c>
    </row>
    <row r="87" spans="1:11" x14ac:dyDescent="0.3">
      <c r="A87" s="44" t="s">
        <v>98</v>
      </c>
      <c r="B87" s="44" t="s">
        <v>98</v>
      </c>
      <c r="C87" s="44" t="s">
        <v>151</v>
      </c>
      <c r="D87" s="44" t="s">
        <v>175</v>
      </c>
      <c r="E87" s="44" t="s">
        <v>132</v>
      </c>
      <c r="F87" s="44" t="s">
        <v>137</v>
      </c>
      <c r="G87" s="44" t="s">
        <v>138</v>
      </c>
      <c r="H87">
        <v>0.48</v>
      </c>
      <c r="I87">
        <v>0</v>
      </c>
      <c r="J87" s="44" t="s">
        <v>98</v>
      </c>
      <c r="K87">
        <v>1632</v>
      </c>
    </row>
    <row r="88" spans="1:11" x14ac:dyDescent="0.3">
      <c r="A88" s="44" t="s">
        <v>98</v>
      </c>
      <c r="B88" s="44" t="s">
        <v>98</v>
      </c>
      <c r="C88" s="44" t="s">
        <v>151</v>
      </c>
      <c r="D88" s="44" t="s">
        <v>175</v>
      </c>
      <c r="E88" s="44" t="s">
        <v>132</v>
      </c>
      <c r="F88" s="44" t="s">
        <v>139</v>
      </c>
      <c r="G88" s="44" t="s">
        <v>140</v>
      </c>
      <c r="H88">
        <v>0.45</v>
      </c>
      <c r="I88">
        <v>0</v>
      </c>
      <c r="J88" s="44" t="s">
        <v>98</v>
      </c>
      <c r="K88">
        <v>1226.25</v>
      </c>
    </row>
    <row r="89" spans="1:11" x14ac:dyDescent="0.3">
      <c r="A89" s="44" t="s">
        <v>98</v>
      </c>
      <c r="B89" s="44" t="s">
        <v>98</v>
      </c>
      <c r="C89" s="44" t="s">
        <v>151</v>
      </c>
      <c r="D89" s="44" t="s">
        <v>175</v>
      </c>
      <c r="E89" s="44" t="s">
        <v>132</v>
      </c>
      <c r="F89" s="44" t="s">
        <v>141</v>
      </c>
      <c r="G89" s="44" t="s">
        <v>142</v>
      </c>
      <c r="H89">
        <v>0.76</v>
      </c>
      <c r="I89">
        <v>0</v>
      </c>
      <c r="J89" s="44" t="s">
        <v>98</v>
      </c>
      <c r="K89">
        <v>380</v>
      </c>
    </row>
    <row r="90" spans="1:11" x14ac:dyDescent="0.3">
      <c r="A90" s="44" t="s">
        <v>98</v>
      </c>
      <c r="B90" s="44" t="s">
        <v>98</v>
      </c>
      <c r="C90" s="44" t="s">
        <v>151</v>
      </c>
      <c r="D90" s="44" t="s">
        <v>175</v>
      </c>
      <c r="E90" s="44" t="s">
        <v>132</v>
      </c>
      <c r="F90" s="44" t="s">
        <v>143</v>
      </c>
      <c r="G90" s="44" t="s">
        <v>144</v>
      </c>
      <c r="H90">
        <v>0.03</v>
      </c>
      <c r="I90">
        <v>0</v>
      </c>
      <c r="J90" s="44" t="s">
        <v>98</v>
      </c>
      <c r="K90">
        <v>12</v>
      </c>
    </row>
    <row r="91" spans="1:11" x14ac:dyDescent="0.3">
      <c r="A91" s="44" t="s">
        <v>98</v>
      </c>
      <c r="B91" s="44" t="s">
        <v>98</v>
      </c>
      <c r="C91" s="44" t="s">
        <v>151</v>
      </c>
      <c r="D91" s="44" t="s">
        <v>175</v>
      </c>
      <c r="E91" s="44" t="s">
        <v>132</v>
      </c>
      <c r="F91" s="44" t="s">
        <v>147</v>
      </c>
      <c r="G91" s="44" t="s">
        <v>148</v>
      </c>
      <c r="H91">
        <v>0.05</v>
      </c>
      <c r="I91">
        <v>0</v>
      </c>
      <c r="J91" s="44" t="s">
        <v>98</v>
      </c>
      <c r="K91">
        <v>57</v>
      </c>
    </row>
    <row r="92" spans="1:11" x14ac:dyDescent="0.3">
      <c r="A92" s="44" t="s">
        <v>98</v>
      </c>
      <c r="B92" s="44" t="s">
        <v>98</v>
      </c>
      <c r="C92" s="44" t="s">
        <v>151</v>
      </c>
      <c r="D92" s="44" t="s">
        <v>176</v>
      </c>
      <c r="E92" s="44" t="s">
        <v>132</v>
      </c>
      <c r="F92" s="44" t="s">
        <v>137</v>
      </c>
      <c r="G92" s="44" t="s">
        <v>138</v>
      </c>
      <c r="H92">
        <v>0.1</v>
      </c>
      <c r="I92">
        <v>0</v>
      </c>
      <c r="J92" s="44" t="s">
        <v>98</v>
      </c>
      <c r="K92">
        <v>340</v>
      </c>
    </row>
    <row r="93" spans="1:11" x14ac:dyDescent="0.3">
      <c r="A93" s="44" t="s">
        <v>98</v>
      </c>
      <c r="B93" s="44" t="s">
        <v>98</v>
      </c>
      <c r="C93" s="44" t="s">
        <v>151</v>
      </c>
      <c r="D93" s="44" t="s">
        <v>176</v>
      </c>
      <c r="E93" s="44" t="s">
        <v>132</v>
      </c>
      <c r="F93" s="44" t="s">
        <v>139</v>
      </c>
      <c r="G93" s="44" t="s">
        <v>140</v>
      </c>
      <c r="H93">
        <v>0.5</v>
      </c>
      <c r="I93">
        <v>0</v>
      </c>
      <c r="J93" s="44" t="s">
        <v>98</v>
      </c>
      <c r="K93">
        <v>1063.7</v>
      </c>
    </row>
    <row r="94" spans="1:11" x14ac:dyDescent="0.3">
      <c r="A94" s="44" t="s">
        <v>98</v>
      </c>
      <c r="B94" s="44" t="s">
        <v>98</v>
      </c>
      <c r="C94" s="44" t="s">
        <v>151</v>
      </c>
      <c r="D94" s="44" t="s">
        <v>177</v>
      </c>
      <c r="E94" s="44" t="s">
        <v>132</v>
      </c>
      <c r="F94" s="44" t="s">
        <v>133</v>
      </c>
      <c r="G94" s="44" t="s">
        <v>134</v>
      </c>
      <c r="H94">
        <v>0.02</v>
      </c>
      <c r="I94">
        <v>0</v>
      </c>
      <c r="J94" s="44" t="s">
        <v>98</v>
      </c>
      <c r="K94">
        <v>200</v>
      </c>
    </row>
    <row r="95" spans="1:11" x14ac:dyDescent="0.3">
      <c r="A95" s="44" t="s">
        <v>98</v>
      </c>
      <c r="B95" s="44" t="s">
        <v>98</v>
      </c>
      <c r="C95" s="44" t="s">
        <v>151</v>
      </c>
      <c r="D95" s="44" t="s">
        <v>177</v>
      </c>
      <c r="E95" s="44" t="s">
        <v>132</v>
      </c>
      <c r="F95" s="44" t="s">
        <v>139</v>
      </c>
      <c r="G95" s="44" t="s">
        <v>140</v>
      </c>
      <c r="H95">
        <v>0.16</v>
      </c>
      <c r="I95">
        <v>0</v>
      </c>
      <c r="J95" s="44" t="s">
        <v>98</v>
      </c>
      <c r="K95">
        <v>203.6</v>
      </c>
    </row>
    <row r="96" spans="1:11" x14ac:dyDescent="0.3">
      <c r="A96" s="44" t="s">
        <v>98</v>
      </c>
      <c r="B96" s="44" t="s">
        <v>98</v>
      </c>
      <c r="C96" s="44" t="s">
        <v>151</v>
      </c>
      <c r="D96" s="44" t="s">
        <v>177</v>
      </c>
      <c r="E96" s="44" t="s">
        <v>132</v>
      </c>
      <c r="F96" s="44" t="s">
        <v>147</v>
      </c>
      <c r="G96" s="44" t="s">
        <v>148</v>
      </c>
      <c r="H96">
        <v>0.04</v>
      </c>
      <c r="I96">
        <v>0</v>
      </c>
      <c r="J96" s="44" t="s">
        <v>98</v>
      </c>
      <c r="K96">
        <v>60</v>
      </c>
    </row>
    <row r="97" spans="1:11" x14ac:dyDescent="0.3">
      <c r="A97" s="44" t="s">
        <v>98</v>
      </c>
      <c r="B97" s="44" t="s">
        <v>98</v>
      </c>
      <c r="C97" s="44" t="s">
        <v>151</v>
      </c>
      <c r="D97" s="44" t="s">
        <v>178</v>
      </c>
      <c r="E97" s="44" t="s">
        <v>132</v>
      </c>
      <c r="F97" s="44" t="s">
        <v>135</v>
      </c>
      <c r="G97" s="44" t="s">
        <v>159</v>
      </c>
      <c r="H97">
        <v>0.06</v>
      </c>
      <c r="I97">
        <v>0</v>
      </c>
      <c r="J97" s="44" t="s">
        <v>98</v>
      </c>
      <c r="K97">
        <v>30</v>
      </c>
    </row>
    <row r="98" spans="1:11" x14ac:dyDescent="0.3">
      <c r="A98" s="44" t="s">
        <v>98</v>
      </c>
      <c r="B98" s="44" t="s">
        <v>98</v>
      </c>
      <c r="C98" s="44" t="s">
        <v>151</v>
      </c>
      <c r="D98" s="44" t="s">
        <v>179</v>
      </c>
      <c r="E98" s="44" t="s">
        <v>132</v>
      </c>
      <c r="F98" s="44" t="s">
        <v>153</v>
      </c>
      <c r="G98" s="44" t="s">
        <v>154</v>
      </c>
      <c r="H98">
        <v>0.08</v>
      </c>
      <c r="I98">
        <v>0</v>
      </c>
      <c r="J98" s="44" t="s">
        <v>98</v>
      </c>
      <c r="K98">
        <v>0</v>
      </c>
    </row>
    <row r="99" spans="1:11" x14ac:dyDescent="0.3">
      <c r="A99" s="44" t="s">
        <v>98</v>
      </c>
      <c r="B99" s="44" t="s">
        <v>98</v>
      </c>
      <c r="C99" s="44" t="s">
        <v>151</v>
      </c>
      <c r="D99" s="44" t="s">
        <v>179</v>
      </c>
      <c r="E99" s="44" t="s">
        <v>132</v>
      </c>
      <c r="F99" s="44" t="s">
        <v>155</v>
      </c>
      <c r="G99" s="44" t="s">
        <v>156</v>
      </c>
      <c r="H99">
        <v>0.05</v>
      </c>
      <c r="I99">
        <v>0</v>
      </c>
      <c r="J99" s="44" t="s">
        <v>98</v>
      </c>
      <c r="K99">
        <v>200</v>
      </c>
    </row>
    <row r="100" spans="1:11" x14ac:dyDescent="0.3">
      <c r="A100" s="44" t="s">
        <v>98</v>
      </c>
      <c r="B100" s="44" t="s">
        <v>98</v>
      </c>
      <c r="C100" s="44" t="s">
        <v>151</v>
      </c>
      <c r="D100" s="44" t="s">
        <v>179</v>
      </c>
      <c r="E100" s="44" t="s">
        <v>132</v>
      </c>
      <c r="F100" s="44" t="s">
        <v>133</v>
      </c>
      <c r="G100" s="44" t="s">
        <v>134</v>
      </c>
      <c r="H100">
        <v>0.01</v>
      </c>
      <c r="I100">
        <v>0</v>
      </c>
      <c r="J100" s="44" t="s">
        <v>98</v>
      </c>
      <c r="K100">
        <v>5</v>
      </c>
    </row>
    <row r="101" spans="1:11" x14ac:dyDescent="0.3">
      <c r="A101" s="44" t="s">
        <v>98</v>
      </c>
      <c r="B101" s="44" t="s">
        <v>98</v>
      </c>
      <c r="C101" s="44" t="s">
        <v>151</v>
      </c>
      <c r="D101" s="44" t="s">
        <v>179</v>
      </c>
      <c r="E101" s="44" t="s">
        <v>132</v>
      </c>
      <c r="F101" s="44" t="s">
        <v>135</v>
      </c>
      <c r="G101" s="44" t="s">
        <v>136</v>
      </c>
      <c r="H101">
        <v>0.13</v>
      </c>
      <c r="I101">
        <v>0</v>
      </c>
      <c r="J101" s="44" t="s">
        <v>98</v>
      </c>
      <c r="K101">
        <v>118.3</v>
      </c>
    </row>
    <row r="102" spans="1:11" x14ac:dyDescent="0.3">
      <c r="A102" s="44" t="s">
        <v>98</v>
      </c>
      <c r="B102" s="44" t="s">
        <v>98</v>
      </c>
      <c r="C102" s="44" t="s">
        <v>151</v>
      </c>
      <c r="D102" s="44" t="s">
        <v>179</v>
      </c>
      <c r="E102" s="44" t="s">
        <v>132</v>
      </c>
      <c r="F102" s="44" t="s">
        <v>135</v>
      </c>
      <c r="G102" s="44" t="s">
        <v>159</v>
      </c>
      <c r="H102">
        <v>0.01</v>
      </c>
      <c r="I102">
        <v>0</v>
      </c>
      <c r="J102" s="44" t="s">
        <v>98</v>
      </c>
      <c r="K102">
        <v>9.1</v>
      </c>
    </row>
    <row r="103" spans="1:11" x14ac:dyDescent="0.3">
      <c r="A103" s="44" t="s">
        <v>98</v>
      </c>
      <c r="B103" s="44" t="s">
        <v>98</v>
      </c>
      <c r="C103" s="44" t="s">
        <v>151</v>
      </c>
      <c r="D103" s="44" t="s">
        <v>179</v>
      </c>
      <c r="E103" s="44" t="s">
        <v>132</v>
      </c>
      <c r="F103" s="44" t="s">
        <v>137</v>
      </c>
      <c r="G103" s="44" t="s">
        <v>138</v>
      </c>
      <c r="H103">
        <v>0.46</v>
      </c>
      <c r="I103">
        <v>0</v>
      </c>
      <c r="J103" s="44" t="s">
        <v>98</v>
      </c>
      <c r="K103">
        <v>1478</v>
      </c>
    </row>
    <row r="104" spans="1:11" x14ac:dyDescent="0.3">
      <c r="A104" s="44" t="s">
        <v>98</v>
      </c>
      <c r="B104" s="44" t="s">
        <v>98</v>
      </c>
      <c r="C104" s="44" t="s">
        <v>151</v>
      </c>
      <c r="D104" s="44" t="s">
        <v>179</v>
      </c>
      <c r="E104" s="44" t="s">
        <v>132</v>
      </c>
      <c r="F104" s="44" t="s">
        <v>139</v>
      </c>
      <c r="G104" s="44" t="s">
        <v>140</v>
      </c>
      <c r="H104">
        <v>0.84</v>
      </c>
      <c r="I104">
        <v>0</v>
      </c>
      <c r="J104" s="44" t="s">
        <v>98</v>
      </c>
      <c r="K104">
        <v>1741.2</v>
      </c>
    </row>
    <row r="105" spans="1:11" x14ac:dyDescent="0.3">
      <c r="A105" s="44" t="s">
        <v>98</v>
      </c>
      <c r="B105" s="44" t="s">
        <v>98</v>
      </c>
      <c r="C105" s="44" t="s">
        <v>151</v>
      </c>
      <c r="D105" s="44" t="s">
        <v>179</v>
      </c>
      <c r="E105" s="44" t="s">
        <v>132</v>
      </c>
      <c r="F105" s="44" t="s">
        <v>141</v>
      </c>
      <c r="G105" s="44" t="s">
        <v>142</v>
      </c>
      <c r="H105">
        <v>0.72</v>
      </c>
      <c r="I105">
        <v>0</v>
      </c>
      <c r="J105" s="44" t="s">
        <v>98</v>
      </c>
      <c r="K105">
        <v>360</v>
      </c>
    </row>
    <row r="106" spans="1:11" x14ac:dyDescent="0.3">
      <c r="A106" s="44" t="s">
        <v>98</v>
      </c>
      <c r="B106" s="44" t="s">
        <v>98</v>
      </c>
      <c r="C106" s="44" t="s">
        <v>151</v>
      </c>
      <c r="D106" s="44" t="s">
        <v>179</v>
      </c>
      <c r="E106" s="44" t="s">
        <v>132</v>
      </c>
      <c r="F106" s="44" t="s">
        <v>143</v>
      </c>
      <c r="G106" s="44" t="s">
        <v>144</v>
      </c>
      <c r="H106">
        <v>0.06</v>
      </c>
      <c r="I106">
        <v>0</v>
      </c>
      <c r="J106" s="44" t="s">
        <v>98</v>
      </c>
      <c r="K106">
        <v>44.1</v>
      </c>
    </row>
    <row r="107" spans="1:11" x14ac:dyDescent="0.3">
      <c r="A107" s="44" t="s">
        <v>98</v>
      </c>
      <c r="B107" s="44" t="s">
        <v>98</v>
      </c>
      <c r="C107" s="44" t="s">
        <v>151</v>
      </c>
      <c r="D107" s="44" t="s">
        <v>179</v>
      </c>
      <c r="E107" s="44" t="s">
        <v>132</v>
      </c>
      <c r="F107" s="44" t="s">
        <v>147</v>
      </c>
      <c r="G107" s="44" t="s">
        <v>148</v>
      </c>
      <c r="H107">
        <v>0.65</v>
      </c>
      <c r="I107">
        <v>0</v>
      </c>
      <c r="J107" s="44" t="s">
        <v>98</v>
      </c>
      <c r="K107">
        <v>833</v>
      </c>
    </row>
    <row r="108" spans="1:11" x14ac:dyDescent="0.3">
      <c r="A108" s="44" t="s">
        <v>98</v>
      </c>
      <c r="B108" s="44" t="s">
        <v>98</v>
      </c>
      <c r="C108" s="44" t="s">
        <v>151</v>
      </c>
      <c r="D108" s="44" t="s">
        <v>180</v>
      </c>
      <c r="E108" s="44" t="s">
        <v>132</v>
      </c>
      <c r="F108" s="44" t="s">
        <v>139</v>
      </c>
      <c r="G108" s="44" t="s">
        <v>140</v>
      </c>
      <c r="H108">
        <v>2.64</v>
      </c>
      <c r="I108">
        <v>0</v>
      </c>
      <c r="J108" s="44" t="s">
        <v>98</v>
      </c>
      <c r="K108">
        <v>7194</v>
      </c>
    </row>
    <row r="109" spans="1:11" x14ac:dyDescent="0.3">
      <c r="A109" s="44" t="s">
        <v>98</v>
      </c>
      <c r="B109" s="44" t="s">
        <v>98</v>
      </c>
      <c r="C109" s="44" t="s">
        <v>151</v>
      </c>
      <c r="D109" s="44" t="s">
        <v>181</v>
      </c>
      <c r="E109" s="44" t="s">
        <v>132</v>
      </c>
      <c r="F109" s="44" t="s">
        <v>147</v>
      </c>
      <c r="G109" s="44" t="s">
        <v>148</v>
      </c>
      <c r="H109">
        <v>7.0000000000000007E-2</v>
      </c>
      <c r="I109">
        <v>0</v>
      </c>
      <c r="J109" s="44" t="s">
        <v>98</v>
      </c>
      <c r="K109">
        <v>91</v>
      </c>
    </row>
    <row r="110" spans="1:11" x14ac:dyDescent="0.3">
      <c r="A110" s="44" t="s">
        <v>98</v>
      </c>
      <c r="B110" s="44" t="s">
        <v>98</v>
      </c>
      <c r="C110" s="44" t="s">
        <v>151</v>
      </c>
      <c r="D110" s="44" t="s">
        <v>182</v>
      </c>
      <c r="E110" s="44" t="s">
        <v>132</v>
      </c>
      <c r="F110" s="44" t="s">
        <v>139</v>
      </c>
      <c r="G110" s="44" t="s">
        <v>140</v>
      </c>
      <c r="H110">
        <v>0.24</v>
      </c>
      <c r="I110">
        <v>0</v>
      </c>
      <c r="J110" s="44" t="s">
        <v>98</v>
      </c>
      <c r="K110">
        <v>255.6</v>
      </c>
    </row>
    <row r="111" spans="1:11" x14ac:dyDescent="0.3">
      <c r="A111" s="44" t="s">
        <v>98</v>
      </c>
      <c r="B111" s="44" t="s">
        <v>98</v>
      </c>
      <c r="C111" s="44" t="s">
        <v>151</v>
      </c>
      <c r="D111" s="44" t="s">
        <v>182</v>
      </c>
      <c r="E111" s="44" t="s">
        <v>132</v>
      </c>
      <c r="F111" s="44" t="s">
        <v>147</v>
      </c>
      <c r="G111" s="44" t="s">
        <v>148</v>
      </c>
      <c r="H111">
        <v>0.05</v>
      </c>
      <c r="I111">
        <v>0</v>
      </c>
      <c r="J111" s="44" t="s">
        <v>98</v>
      </c>
      <c r="K111">
        <v>65</v>
      </c>
    </row>
    <row r="112" spans="1:11" x14ac:dyDescent="0.3">
      <c r="A112" s="44" t="s">
        <v>98</v>
      </c>
      <c r="B112" s="44" t="s">
        <v>98</v>
      </c>
      <c r="C112" s="44" t="s">
        <v>151</v>
      </c>
      <c r="D112" s="44" t="s">
        <v>183</v>
      </c>
      <c r="E112" s="44" t="s">
        <v>132</v>
      </c>
      <c r="F112" s="44" t="s">
        <v>137</v>
      </c>
      <c r="G112" s="44" t="s">
        <v>138</v>
      </c>
      <c r="H112">
        <v>1.8</v>
      </c>
      <c r="I112">
        <v>0</v>
      </c>
      <c r="J112" s="44" t="s">
        <v>98</v>
      </c>
      <c r="K112">
        <v>4421.5</v>
      </c>
    </row>
    <row r="113" spans="1:11" x14ac:dyDescent="0.3">
      <c r="A113" s="44" t="s">
        <v>98</v>
      </c>
      <c r="B113" s="44" t="s">
        <v>98</v>
      </c>
      <c r="C113" s="44" t="s">
        <v>151</v>
      </c>
      <c r="D113" s="44" t="s">
        <v>183</v>
      </c>
      <c r="E113" s="44" t="s">
        <v>132</v>
      </c>
      <c r="F113" s="44" t="s">
        <v>139</v>
      </c>
      <c r="G113" s="44" t="s">
        <v>140</v>
      </c>
      <c r="H113">
        <v>0.03</v>
      </c>
      <c r="I113">
        <v>0</v>
      </c>
      <c r="J113" s="44" t="s">
        <v>98</v>
      </c>
      <c r="K113">
        <v>81.75</v>
      </c>
    </row>
    <row r="114" spans="1:11" x14ac:dyDescent="0.3">
      <c r="A114" s="44" t="s">
        <v>98</v>
      </c>
      <c r="B114" s="44" t="s">
        <v>98</v>
      </c>
      <c r="C114" s="44" t="s">
        <v>151</v>
      </c>
      <c r="D114" s="44" t="s">
        <v>184</v>
      </c>
      <c r="E114" s="44" t="s">
        <v>132</v>
      </c>
      <c r="F114" s="44" t="s">
        <v>139</v>
      </c>
      <c r="G114" s="44" t="s">
        <v>140</v>
      </c>
      <c r="H114">
        <v>0.04</v>
      </c>
      <c r="I114">
        <v>0</v>
      </c>
      <c r="J114" s="44" t="s">
        <v>98</v>
      </c>
      <c r="K114">
        <v>42.6</v>
      </c>
    </row>
    <row r="115" spans="1:11" x14ac:dyDescent="0.3">
      <c r="A115" s="44" t="s">
        <v>98</v>
      </c>
      <c r="B115" s="44" t="s">
        <v>98</v>
      </c>
      <c r="C115" s="44" t="s">
        <v>151</v>
      </c>
      <c r="D115" s="44" t="s">
        <v>184</v>
      </c>
      <c r="E115" s="44" t="s">
        <v>132</v>
      </c>
      <c r="F115" s="44" t="s">
        <v>141</v>
      </c>
      <c r="G115" s="44" t="s">
        <v>142</v>
      </c>
      <c r="H115">
        <v>0.2</v>
      </c>
      <c r="I115">
        <v>0</v>
      </c>
      <c r="J115" s="44" t="s">
        <v>98</v>
      </c>
      <c r="K115">
        <v>100</v>
      </c>
    </row>
    <row r="116" spans="1:11" x14ac:dyDescent="0.3">
      <c r="A116" s="44" t="s">
        <v>98</v>
      </c>
      <c r="B116" s="44" t="s">
        <v>98</v>
      </c>
      <c r="C116" s="44" t="s">
        <v>151</v>
      </c>
      <c r="D116" s="44" t="s">
        <v>185</v>
      </c>
      <c r="E116" s="44" t="s">
        <v>132</v>
      </c>
      <c r="F116" s="44" t="s">
        <v>147</v>
      </c>
      <c r="G116" s="44" t="s">
        <v>148</v>
      </c>
      <c r="H116">
        <v>0.3</v>
      </c>
      <c r="I116">
        <v>0</v>
      </c>
      <c r="J116" s="44" t="s">
        <v>98</v>
      </c>
      <c r="K116">
        <v>277</v>
      </c>
    </row>
    <row r="117" spans="1:11" x14ac:dyDescent="0.3">
      <c r="A117" s="44" t="s">
        <v>98</v>
      </c>
      <c r="B117" s="44" t="s">
        <v>98</v>
      </c>
      <c r="C117" s="44" t="s">
        <v>151</v>
      </c>
      <c r="D117" s="44" t="s">
        <v>186</v>
      </c>
      <c r="E117" s="44" t="s">
        <v>132</v>
      </c>
      <c r="F117" s="44" t="s">
        <v>137</v>
      </c>
      <c r="G117" s="44" t="s">
        <v>138</v>
      </c>
      <c r="H117">
        <v>1.72</v>
      </c>
      <c r="I117">
        <v>0</v>
      </c>
      <c r="J117" s="44" t="s">
        <v>98</v>
      </c>
      <c r="K117">
        <v>5848</v>
      </c>
    </row>
    <row r="118" spans="1:11" x14ac:dyDescent="0.3">
      <c r="A118" s="44" t="s">
        <v>98</v>
      </c>
      <c r="B118" s="44" t="s">
        <v>98</v>
      </c>
      <c r="C118" s="44" t="s">
        <v>151</v>
      </c>
      <c r="D118" s="44" t="s">
        <v>186</v>
      </c>
      <c r="E118" s="44" t="s">
        <v>132</v>
      </c>
      <c r="F118" s="44" t="s">
        <v>139</v>
      </c>
      <c r="G118" s="44" t="s">
        <v>140</v>
      </c>
      <c r="H118">
        <v>0.7</v>
      </c>
      <c r="I118">
        <v>0</v>
      </c>
      <c r="J118" s="44" t="s">
        <v>98</v>
      </c>
      <c r="K118">
        <v>745.5</v>
      </c>
    </row>
    <row r="119" spans="1:11" x14ac:dyDescent="0.3">
      <c r="A119" s="44" t="s">
        <v>98</v>
      </c>
      <c r="B119" s="44" t="s">
        <v>98</v>
      </c>
      <c r="C119" s="44" t="s">
        <v>151</v>
      </c>
      <c r="D119" s="44" t="s">
        <v>186</v>
      </c>
      <c r="E119" s="44" t="s">
        <v>132</v>
      </c>
      <c r="F119" s="44" t="s">
        <v>147</v>
      </c>
      <c r="G119" s="44" t="s">
        <v>148</v>
      </c>
      <c r="H119">
        <v>7.0000000000000007E-2</v>
      </c>
      <c r="I119">
        <v>0</v>
      </c>
      <c r="J119" s="44" t="s">
        <v>98</v>
      </c>
      <c r="K119">
        <v>63</v>
      </c>
    </row>
    <row r="120" spans="1:11" x14ac:dyDescent="0.3">
      <c r="A120" s="44" t="s">
        <v>98</v>
      </c>
      <c r="B120" s="44" t="s">
        <v>98</v>
      </c>
      <c r="C120" s="44" t="s">
        <v>151</v>
      </c>
      <c r="D120" s="44" t="s">
        <v>187</v>
      </c>
      <c r="E120" s="44" t="s">
        <v>132</v>
      </c>
      <c r="F120" s="44" t="s">
        <v>133</v>
      </c>
      <c r="G120" s="44" t="s">
        <v>134</v>
      </c>
      <c r="H120">
        <v>0.04</v>
      </c>
      <c r="I120">
        <v>0</v>
      </c>
      <c r="J120" s="44" t="s">
        <v>98</v>
      </c>
      <c r="K120">
        <v>20</v>
      </c>
    </row>
    <row r="121" spans="1:11" x14ac:dyDescent="0.3">
      <c r="A121" s="44" t="s">
        <v>98</v>
      </c>
      <c r="B121" s="44" t="s">
        <v>98</v>
      </c>
      <c r="C121" s="44" t="s">
        <v>151</v>
      </c>
      <c r="D121" s="44" t="s">
        <v>187</v>
      </c>
      <c r="E121" s="44" t="s">
        <v>132</v>
      </c>
      <c r="F121" s="44" t="s">
        <v>137</v>
      </c>
      <c r="G121" s="44" t="s">
        <v>138</v>
      </c>
      <c r="H121">
        <v>0.4</v>
      </c>
      <c r="I121">
        <v>0</v>
      </c>
      <c r="J121" s="44" t="s">
        <v>98</v>
      </c>
      <c r="K121">
        <v>1360</v>
      </c>
    </row>
    <row r="122" spans="1:11" x14ac:dyDescent="0.3">
      <c r="A122" s="44" t="s">
        <v>98</v>
      </c>
      <c r="B122" s="44" t="s">
        <v>98</v>
      </c>
      <c r="C122" s="44" t="s">
        <v>151</v>
      </c>
      <c r="D122" s="44" t="s">
        <v>187</v>
      </c>
      <c r="E122" s="44" t="s">
        <v>132</v>
      </c>
      <c r="F122" s="44" t="s">
        <v>139</v>
      </c>
      <c r="G122" s="44" t="s">
        <v>140</v>
      </c>
      <c r="H122">
        <v>0.09</v>
      </c>
      <c r="I122">
        <v>0</v>
      </c>
      <c r="J122" s="44" t="s">
        <v>98</v>
      </c>
      <c r="K122">
        <v>162.25</v>
      </c>
    </row>
    <row r="123" spans="1:11" x14ac:dyDescent="0.3">
      <c r="A123" s="44" t="s">
        <v>98</v>
      </c>
      <c r="B123" s="44" t="s">
        <v>98</v>
      </c>
      <c r="C123" s="44" t="s">
        <v>151</v>
      </c>
      <c r="D123" s="44" t="s">
        <v>187</v>
      </c>
      <c r="E123" s="44" t="s">
        <v>132</v>
      </c>
      <c r="F123" s="44" t="s">
        <v>147</v>
      </c>
      <c r="G123" s="44" t="s">
        <v>148</v>
      </c>
      <c r="H123">
        <v>0.33</v>
      </c>
      <c r="I123">
        <v>0</v>
      </c>
      <c r="J123" s="44" t="s">
        <v>98</v>
      </c>
      <c r="K123">
        <v>330</v>
      </c>
    </row>
    <row r="124" spans="1:11" x14ac:dyDescent="0.3">
      <c r="A124" s="44" t="s">
        <v>98</v>
      </c>
      <c r="B124" s="44" t="s">
        <v>98</v>
      </c>
      <c r="C124" s="44" t="s">
        <v>151</v>
      </c>
      <c r="D124" s="44" t="s">
        <v>188</v>
      </c>
      <c r="E124" s="44" t="s">
        <v>132</v>
      </c>
      <c r="F124" s="44" t="s">
        <v>133</v>
      </c>
      <c r="G124" s="44" t="s">
        <v>134</v>
      </c>
      <c r="H124">
        <v>0.17</v>
      </c>
      <c r="I124">
        <v>0</v>
      </c>
      <c r="J124" s="44" t="s">
        <v>98</v>
      </c>
      <c r="K124">
        <v>85</v>
      </c>
    </row>
    <row r="125" spans="1:11" x14ac:dyDescent="0.3">
      <c r="A125" s="44" t="s">
        <v>98</v>
      </c>
      <c r="B125" s="44" t="s">
        <v>98</v>
      </c>
      <c r="C125" s="44" t="s">
        <v>151</v>
      </c>
      <c r="D125" s="44" t="s">
        <v>188</v>
      </c>
      <c r="E125" s="44" t="s">
        <v>132</v>
      </c>
      <c r="F125" s="44" t="s">
        <v>135</v>
      </c>
      <c r="G125" s="44" t="s">
        <v>159</v>
      </c>
      <c r="H125">
        <v>0.05</v>
      </c>
      <c r="I125">
        <v>0</v>
      </c>
      <c r="J125" s="44" t="s">
        <v>98</v>
      </c>
      <c r="K125">
        <v>45.5</v>
      </c>
    </row>
    <row r="126" spans="1:11" x14ac:dyDescent="0.3">
      <c r="A126" s="44" t="s">
        <v>98</v>
      </c>
      <c r="B126" s="44" t="s">
        <v>98</v>
      </c>
      <c r="C126" s="44" t="s">
        <v>151</v>
      </c>
      <c r="D126" s="44" t="s">
        <v>188</v>
      </c>
      <c r="E126" s="44" t="s">
        <v>132</v>
      </c>
      <c r="F126" s="44" t="s">
        <v>137</v>
      </c>
      <c r="G126" s="44" t="s">
        <v>138</v>
      </c>
      <c r="H126">
        <v>0.15</v>
      </c>
      <c r="I126">
        <v>0</v>
      </c>
      <c r="J126" s="44" t="s">
        <v>98</v>
      </c>
      <c r="K126">
        <v>424</v>
      </c>
    </row>
    <row r="127" spans="1:11" x14ac:dyDescent="0.3">
      <c r="A127" s="44" t="s">
        <v>98</v>
      </c>
      <c r="B127" s="44" t="s">
        <v>98</v>
      </c>
      <c r="C127" s="44" t="s">
        <v>151</v>
      </c>
      <c r="D127" s="44" t="s">
        <v>188</v>
      </c>
      <c r="E127" s="44" t="s">
        <v>132</v>
      </c>
      <c r="F127" s="44" t="s">
        <v>139</v>
      </c>
      <c r="G127" s="44" t="s">
        <v>140</v>
      </c>
      <c r="H127">
        <v>0.02</v>
      </c>
      <c r="I127">
        <v>0</v>
      </c>
      <c r="J127" s="44" t="s">
        <v>98</v>
      </c>
      <c r="K127">
        <v>21.3</v>
      </c>
    </row>
    <row r="128" spans="1:11" x14ac:dyDescent="0.3">
      <c r="A128" s="44" t="s">
        <v>98</v>
      </c>
      <c r="B128" s="44" t="s">
        <v>98</v>
      </c>
      <c r="C128" s="44" t="s">
        <v>151</v>
      </c>
      <c r="D128" s="44" t="s">
        <v>188</v>
      </c>
      <c r="E128" s="44" t="s">
        <v>132</v>
      </c>
      <c r="F128" s="44" t="s">
        <v>147</v>
      </c>
      <c r="G128" s="44" t="s">
        <v>148</v>
      </c>
      <c r="H128">
        <v>7.0000000000000007E-2</v>
      </c>
      <c r="I128">
        <v>0</v>
      </c>
      <c r="J128" s="44" t="s">
        <v>98</v>
      </c>
      <c r="K128">
        <v>63</v>
      </c>
    </row>
    <row r="129" spans="1:13" x14ac:dyDescent="0.3">
      <c r="A129" s="44" t="s">
        <v>98</v>
      </c>
      <c r="B129" s="44" t="s">
        <v>98</v>
      </c>
      <c r="C129" s="44" t="s">
        <v>151</v>
      </c>
      <c r="D129" s="44" t="s">
        <v>189</v>
      </c>
      <c r="E129" s="44" t="s">
        <v>132</v>
      </c>
      <c r="F129" s="44" t="s">
        <v>139</v>
      </c>
      <c r="G129" s="44" t="s">
        <v>140</v>
      </c>
      <c r="H129">
        <v>0.26</v>
      </c>
      <c r="I129">
        <v>0</v>
      </c>
      <c r="J129" s="44" t="s">
        <v>98</v>
      </c>
      <c r="K129">
        <v>343.3</v>
      </c>
    </row>
    <row r="130" spans="1:13" x14ac:dyDescent="0.3">
      <c r="A130" s="44" t="s">
        <v>98</v>
      </c>
      <c r="B130" s="44" t="s">
        <v>98</v>
      </c>
      <c r="C130" s="44" t="s">
        <v>151</v>
      </c>
      <c r="D130" s="44" t="s">
        <v>189</v>
      </c>
      <c r="E130" s="44" t="s">
        <v>132</v>
      </c>
      <c r="F130" s="44" t="s">
        <v>143</v>
      </c>
      <c r="G130" s="44" t="s">
        <v>144</v>
      </c>
      <c r="H130">
        <v>0.14000000000000001</v>
      </c>
      <c r="I130">
        <v>0</v>
      </c>
      <c r="J130" s="44" t="s">
        <v>98</v>
      </c>
      <c r="K130">
        <v>56</v>
      </c>
    </row>
    <row r="131" spans="1:13" x14ac:dyDescent="0.3">
      <c r="A131" s="44" t="s">
        <v>98</v>
      </c>
      <c r="B131" s="44" t="s">
        <v>98</v>
      </c>
      <c r="C131" s="44" t="s">
        <v>151</v>
      </c>
      <c r="D131" s="44" t="s">
        <v>190</v>
      </c>
      <c r="E131" s="44" t="s">
        <v>132</v>
      </c>
      <c r="F131" s="44" t="s">
        <v>137</v>
      </c>
      <c r="G131" s="44" t="s">
        <v>138</v>
      </c>
      <c r="H131">
        <v>1.1399999999999999</v>
      </c>
      <c r="I131">
        <v>0</v>
      </c>
      <c r="J131" s="44" t="s">
        <v>98</v>
      </c>
      <c r="K131">
        <v>3413.75</v>
      </c>
    </row>
    <row r="132" spans="1:13" x14ac:dyDescent="0.3">
      <c r="A132" s="44" t="s">
        <v>98</v>
      </c>
      <c r="B132" s="44" t="s">
        <v>98</v>
      </c>
      <c r="C132" s="44" t="s">
        <v>151</v>
      </c>
      <c r="D132" s="44" t="s">
        <v>190</v>
      </c>
      <c r="E132" s="44" t="s">
        <v>132</v>
      </c>
      <c r="F132" s="44" t="s">
        <v>139</v>
      </c>
      <c r="G132" s="44" t="s">
        <v>140</v>
      </c>
      <c r="H132">
        <v>3.78</v>
      </c>
      <c r="I132">
        <v>0</v>
      </c>
      <c r="J132" s="44" t="s">
        <v>98</v>
      </c>
      <c r="K132">
        <v>4673.1000000000004</v>
      </c>
    </row>
    <row r="133" spans="1:13" x14ac:dyDescent="0.3">
      <c r="A133" s="44" t="s">
        <v>98</v>
      </c>
      <c r="B133" s="44" t="s">
        <v>98</v>
      </c>
      <c r="C133" s="44" t="s">
        <v>151</v>
      </c>
      <c r="D133" s="44" t="s">
        <v>190</v>
      </c>
      <c r="E133" s="44" t="s">
        <v>132</v>
      </c>
      <c r="F133" s="44" t="s">
        <v>147</v>
      </c>
      <c r="G133" s="44" t="s">
        <v>148</v>
      </c>
      <c r="H133">
        <v>0.44</v>
      </c>
      <c r="I133">
        <v>0</v>
      </c>
      <c r="J133" s="44" t="s">
        <v>98</v>
      </c>
      <c r="K133">
        <v>524</v>
      </c>
    </row>
    <row r="134" spans="1:13" x14ac:dyDescent="0.3">
      <c r="A134" s="44" t="s">
        <v>98</v>
      </c>
      <c r="B134" s="44" t="s">
        <v>98</v>
      </c>
      <c r="C134" s="44" t="s">
        <v>151</v>
      </c>
      <c r="D134" s="44" t="s">
        <v>191</v>
      </c>
      <c r="E134" s="44" t="s">
        <v>132</v>
      </c>
      <c r="F134" s="44" t="s">
        <v>137</v>
      </c>
      <c r="G134" s="44" t="s">
        <v>138</v>
      </c>
      <c r="H134">
        <v>3.78</v>
      </c>
      <c r="I134">
        <v>0</v>
      </c>
      <c r="J134" s="44" t="s">
        <v>98</v>
      </c>
      <c r="K134">
        <v>9971</v>
      </c>
    </row>
    <row r="135" spans="1:13" x14ac:dyDescent="0.3">
      <c r="A135" s="44" t="s">
        <v>98</v>
      </c>
      <c r="B135" s="44" t="s">
        <v>98</v>
      </c>
      <c r="C135" s="44" t="s">
        <v>151</v>
      </c>
      <c r="D135" s="44" t="s">
        <v>191</v>
      </c>
      <c r="E135" s="44" t="s">
        <v>132</v>
      </c>
      <c r="F135" s="44" t="s">
        <v>139</v>
      </c>
      <c r="G135" s="44" t="s">
        <v>140</v>
      </c>
      <c r="H135">
        <v>2.62</v>
      </c>
      <c r="I135">
        <v>0</v>
      </c>
      <c r="J135" s="44" t="s">
        <v>98</v>
      </c>
      <c r="K135">
        <v>3736.5</v>
      </c>
    </row>
    <row r="136" spans="1:13" x14ac:dyDescent="0.3">
      <c r="A136" s="44" t="s">
        <v>98</v>
      </c>
      <c r="B136" s="44" t="s">
        <v>98</v>
      </c>
      <c r="C136" s="44" t="s">
        <v>151</v>
      </c>
      <c r="D136" s="44" t="s">
        <v>191</v>
      </c>
      <c r="E136" s="44" t="s">
        <v>132</v>
      </c>
      <c r="F136" s="44" t="s">
        <v>141</v>
      </c>
      <c r="G136" s="44" t="s">
        <v>142</v>
      </c>
      <c r="H136">
        <v>0.14000000000000001</v>
      </c>
      <c r="I136">
        <v>0</v>
      </c>
      <c r="J136" s="44" t="s">
        <v>98</v>
      </c>
      <c r="K136">
        <v>70</v>
      </c>
    </row>
    <row r="137" spans="1:13" x14ac:dyDescent="0.3">
      <c r="A137" s="44" t="s">
        <v>98</v>
      </c>
      <c r="B137" s="44" t="s">
        <v>98</v>
      </c>
      <c r="C137" s="44" t="s">
        <v>151</v>
      </c>
      <c r="D137" s="44" t="s">
        <v>191</v>
      </c>
      <c r="E137" s="44" t="s">
        <v>132</v>
      </c>
      <c r="F137" s="44" t="s">
        <v>143</v>
      </c>
      <c r="G137" s="44" t="s">
        <v>144</v>
      </c>
      <c r="H137">
        <v>7.0000000000000007E-2</v>
      </c>
      <c r="I137">
        <v>0</v>
      </c>
      <c r="J137" s="44" t="s">
        <v>98</v>
      </c>
      <c r="K137">
        <v>28</v>
      </c>
    </row>
    <row r="138" spans="1:13" x14ac:dyDescent="0.3">
      <c r="A138" s="44" t="s">
        <v>98</v>
      </c>
      <c r="B138" s="44" t="s">
        <v>98</v>
      </c>
      <c r="C138" s="44" t="s">
        <v>151</v>
      </c>
      <c r="D138" s="44" t="s">
        <v>191</v>
      </c>
      <c r="E138" s="44" t="s">
        <v>132</v>
      </c>
      <c r="F138" s="44" t="s">
        <v>147</v>
      </c>
      <c r="G138" s="44" t="s">
        <v>148</v>
      </c>
      <c r="H138">
        <v>0.12</v>
      </c>
      <c r="I138">
        <v>0</v>
      </c>
      <c r="J138" s="44" t="s">
        <v>98</v>
      </c>
      <c r="K138">
        <v>120</v>
      </c>
    </row>
    <row r="139" spans="1:13" x14ac:dyDescent="0.3">
      <c r="A139" s="44" t="s">
        <v>98</v>
      </c>
      <c r="B139" s="44" t="s">
        <v>98</v>
      </c>
      <c r="C139" s="44" t="s">
        <v>151</v>
      </c>
      <c r="D139" s="44" t="s">
        <v>192</v>
      </c>
      <c r="E139" s="44" t="s">
        <v>132</v>
      </c>
      <c r="F139" s="44" t="s">
        <v>137</v>
      </c>
      <c r="G139" s="44" t="s">
        <v>138</v>
      </c>
      <c r="H139">
        <v>0.41</v>
      </c>
      <c r="I139">
        <v>0</v>
      </c>
      <c r="J139" s="44" t="s">
        <v>98</v>
      </c>
      <c r="K139">
        <v>953.25</v>
      </c>
    </row>
    <row r="140" spans="1:13" x14ac:dyDescent="0.3">
      <c r="A140" s="44" t="s">
        <v>98</v>
      </c>
      <c r="B140" s="44" t="s">
        <v>98</v>
      </c>
      <c r="C140" s="44" t="s">
        <v>151</v>
      </c>
      <c r="D140" s="44" t="s">
        <v>192</v>
      </c>
      <c r="E140" s="44" t="s">
        <v>132</v>
      </c>
      <c r="F140" s="44" t="s">
        <v>139</v>
      </c>
      <c r="G140" s="44" t="s">
        <v>140</v>
      </c>
      <c r="H140">
        <v>3.09</v>
      </c>
      <c r="I140">
        <v>0</v>
      </c>
      <c r="J140" s="44" t="s">
        <v>98</v>
      </c>
      <c r="K140">
        <v>8005.25</v>
      </c>
    </row>
    <row r="141" spans="1:13" ht="15" thickBot="1" x14ac:dyDescent="0.35">
      <c r="A141" s="44" t="s">
        <v>98</v>
      </c>
      <c r="B141" s="44" t="s">
        <v>98</v>
      </c>
      <c r="C141" s="44" t="s">
        <v>151</v>
      </c>
      <c r="D141" s="44" t="s">
        <v>192</v>
      </c>
      <c r="E141" s="44" t="s">
        <v>132</v>
      </c>
      <c r="F141" s="44" t="s">
        <v>147</v>
      </c>
      <c r="G141" s="44" t="s">
        <v>148</v>
      </c>
      <c r="H141">
        <v>0.04</v>
      </c>
      <c r="I141">
        <v>0</v>
      </c>
      <c r="J141" s="44" t="s">
        <v>98</v>
      </c>
      <c r="K141">
        <v>52</v>
      </c>
    </row>
    <row r="142" spans="1:13" ht="15" thickBot="1" x14ac:dyDescent="0.35">
      <c r="A142" s="50"/>
      <c r="B142" s="51"/>
      <c r="C142" s="51"/>
      <c r="D142" s="47" t="s">
        <v>193</v>
      </c>
      <c r="E142" s="46"/>
      <c r="F142" s="46"/>
      <c r="G142" s="46"/>
      <c r="H142" s="46">
        <f>SUM(H29:H141)</f>
        <v>80.13000000000001</v>
      </c>
      <c r="I142" s="46"/>
      <c r="J142" s="46"/>
      <c r="K142" s="48">
        <f>SUM(K29:K141)</f>
        <v>167653.30000000002</v>
      </c>
      <c r="M142" s="43" t="s">
        <v>149</v>
      </c>
    </row>
    <row r="145" spans="1:11" x14ac:dyDescent="0.3">
      <c r="A145" s="43" t="s">
        <v>194</v>
      </c>
      <c r="B145" s="43"/>
      <c r="C145" s="43"/>
      <c r="D145" s="43"/>
    </row>
    <row r="146" spans="1:11" x14ac:dyDescent="0.3">
      <c r="A146" s="44" t="s">
        <v>98</v>
      </c>
      <c r="B146" s="44" t="s">
        <v>98</v>
      </c>
      <c r="C146" s="44" t="s">
        <v>151</v>
      </c>
      <c r="D146" s="44" t="s">
        <v>195</v>
      </c>
      <c r="E146" s="44" t="s">
        <v>132</v>
      </c>
      <c r="F146" s="44" t="s">
        <v>139</v>
      </c>
      <c r="G146" s="44" t="s">
        <v>140</v>
      </c>
      <c r="H146">
        <v>0.09</v>
      </c>
      <c r="I146">
        <v>0</v>
      </c>
      <c r="J146" s="44" t="s">
        <v>98</v>
      </c>
      <c r="K146">
        <v>245.25</v>
      </c>
    </row>
    <row r="147" spans="1:11" x14ac:dyDescent="0.3">
      <c r="A147" s="44" t="s">
        <v>98</v>
      </c>
      <c r="B147" s="44" t="s">
        <v>98</v>
      </c>
      <c r="C147" s="44" t="s">
        <v>151</v>
      </c>
      <c r="D147" s="44" t="s">
        <v>195</v>
      </c>
      <c r="E147" s="44" t="s">
        <v>132</v>
      </c>
      <c r="F147" s="44" t="s">
        <v>147</v>
      </c>
      <c r="G147" s="44" t="s">
        <v>148</v>
      </c>
      <c r="H147">
        <v>0.05</v>
      </c>
      <c r="I147">
        <v>0</v>
      </c>
      <c r="J147" s="44" t="s">
        <v>98</v>
      </c>
      <c r="K147">
        <v>45</v>
      </c>
    </row>
    <row r="148" spans="1:11" x14ac:dyDescent="0.3">
      <c r="A148" s="44" t="s">
        <v>98</v>
      </c>
      <c r="B148" s="44" t="s">
        <v>98</v>
      </c>
      <c r="C148" s="44" t="s">
        <v>151</v>
      </c>
      <c r="D148" s="44" t="s">
        <v>196</v>
      </c>
      <c r="E148" s="44" t="s">
        <v>132</v>
      </c>
      <c r="F148" s="44" t="s">
        <v>139</v>
      </c>
      <c r="G148" s="44" t="s">
        <v>140</v>
      </c>
      <c r="H148">
        <v>0.47</v>
      </c>
      <c r="I148">
        <v>0</v>
      </c>
      <c r="J148" s="44" t="s">
        <v>98</v>
      </c>
      <c r="K148">
        <v>699.75</v>
      </c>
    </row>
    <row r="149" spans="1:11" x14ac:dyDescent="0.3">
      <c r="A149" s="44" t="s">
        <v>98</v>
      </c>
      <c r="B149" s="44" t="s">
        <v>98</v>
      </c>
      <c r="C149" s="44" t="s">
        <v>151</v>
      </c>
      <c r="D149" s="44" t="s">
        <v>196</v>
      </c>
      <c r="E149" s="44" t="s">
        <v>132</v>
      </c>
      <c r="F149" s="44" t="s">
        <v>141</v>
      </c>
      <c r="G149" s="44" t="s">
        <v>142</v>
      </c>
      <c r="H149">
        <v>1.06</v>
      </c>
      <c r="I149">
        <v>0</v>
      </c>
      <c r="J149" s="44" t="s">
        <v>98</v>
      </c>
      <c r="K149">
        <v>530</v>
      </c>
    </row>
    <row r="150" spans="1:11" x14ac:dyDescent="0.3">
      <c r="A150" s="44" t="s">
        <v>98</v>
      </c>
      <c r="B150" s="44" t="s">
        <v>98</v>
      </c>
      <c r="C150" s="44" t="s">
        <v>151</v>
      </c>
      <c r="D150" s="44" t="s">
        <v>197</v>
      </c>
      <c r="E150" s="44" t="s">
        <v>132</v>
      </c>
      <c r="F150" s="44" t="s">
        <v>137</v>
      </c>
      <c r="G150" s="44" t="s">
        <v>138</v>
      </c>
      <c r="H150">
        <v>4.74</v>
      </c>
      <c r="I150">
        <v>0</v>
      </c>
      <c r="J150" s="44" t="s">
        <v>98</v>
      </c>
      <c r="K150">
        <v>16116</v>
      </c>
    </row>
    <row r="151" spans="1:11" x14ac:dyDescent="0.3">
      <c r="A151" s="44" t="s">
        <v>98</v>
      </c>
      <c r="B151" s="44" t="s">
        <v>98</v>
      </c>
      <c r="C151" s="44" t="s">
        <v>151</v>
      </c>
      <c r="D151" s="44" t="s">
        <v>197</v>
      </c>
      <c r="E151" s="44" t="s">
        <v>132</v>
      </c>
      <c r="F151" s="44" t="s">
        <v>139</v>
      </c>
      <c r="G151" s="44" t="s">
        <v>140</v>
      </c>
      <c r="H151">
        <v>0.19</v>
      </c>
      <c r="I151">
        <v>0</v>
      </c>
      <c r="J151" s="44" t="s">
        <v>98</v>
      </c>
      <c r="K151">
        <v>384.95</v>
      </c>
    </row>
    <row r="152" spans="1:11" x14ac:dyDescent="0.3">
      <c r="A152" s="44" t="s">
        <v>98</v>
      </c>
      <c r="B152" s="44" t="s">
        <v>98</v>
      </c>
      <c r="C152" s="44" t="s">
        <v>151</v>
      </c>
      <c r="D152" s="44" t="s">
        <v>197</v>
      </c>
      <c r="E152" s="44" t="s">
        <v>132</v>
      </c>
      <c r="F152" s="44" t="s">
        <v>147</v>
      </c>
      <c r="G152" s="44" t="s">
        <v>148</v>
      </c>
      <c r="H152">
        <v>0.08</v>
      </c>
      <c r="I152">
        <v>0</v>
      </c>
      <c r="J152" s="44" t="s">
        <v>98</v>
      </c>
      <c r="K152">
        <v>104</v>
      </c>
    </row>
    <row r="153" spans="1:11" x14ac:dyDescent="0.3">
      <c r="A153" s="44" t="s">
        <v>98</v>
      </c>
      <c r="B153" s="44" t="s">
        <v>98</v>
      </c>
      <c r="C153" s="44" t="s">
        <v>151</v>
      </c>
      <c r="D153" s="44" t="s">
        <v>198</v>
      </c>
      <c r="E153" s="44" t="s">
        <v>132</v>
      </c>
      <c r="F153" s="44" t="s">
        <v>137</v>
      </c>
      <c r="G153" s="44" t="s">
        <v>138</v>
      </c>
      <c r="H153">
        <v>0.68</v>
      </c>
      <c r="I153">
        <v>0</v>
      </c>
      <c r="J153" s="44" t="s">
        <v>98</v>
      </c>
      <c r="K153">
        <v>1581</v>
      </c>
    </row>
    <row r="154" spans="1:11" x14ac:dyDescent="0.3">
      <c r="A154" s="44" t="s">
        <v>98</v>
      </c>
      <c r="B154" s="44" t="s">
        <v>98</v>
      </c>
      <c r="C154" s="44" t="s">
        <v>151</v>
      </c>
      <c r="D154" s="44" t="s">
        <v>198</v>
      </c>
      <c r="E154" s="44" t="s">
        <v>132</v>
      </c>
      <c r="F154" s="44" t="s">
        <v>139</v>
      </c>
      <c r="G154" s="44" t="s">
        <v>140</v>
      </c>
      <c r="H154">
        <v>0.62</v>
      </c>
      <c r="I154">
        <v>0</v>
      </c>
      <c r="J154" s="44" t="s">
        <v>98</v>
      </c>
      <c r="K154">
        <v>1689.5</v>
      </c>
    </row>
    <row r="155" spans="1:11" x14ac:dyDescent="0.3">
      <c r="A155" s="44" t="s">
        <v>98</v>
      </c>
      <c r="B155" s="44" t="s">
        <v>98</v>
      </c>
      <c r="C155" s="44" t="s">
        <v>151</v>
      </c>
      <c r="D155" s="44" t="s">
        <v>198</v>
      </c>
      <c r="E155" s="44" t="s">
        <v>132</v>
      </c>
      <c r="F155" s="44" t="s">
        <v>141</v>
      </c>
      <c r="G155" s="44" t="s">
        <v>142</v>
      </c>
      <c r="H155">
        <v>0.19</v>
      </c>
      <c r="I155">
        <v>0</v>
      </c>
      <c r="J155" s="44" t="s">
        <v>98</v>
      </c>
      <c r="K155">
        <v>95</v>
      </c>
    </row>
    <row r="156" spans="1:11" x14ac:dyDescent="0.3">
      <c r="A156" s="44" t="s">
        <v>98</v>
      </c>
      <c r="B156" s="44" t="s">
        <v>98</v>
      </c>
      <c r="C156" s="44" t="s">
        <v>151</v>
      </c>
      <c r="D156" s="44" t="s">
        <v>199</v>
      </c>
      <c r="E156" s="44" t="s">
        <v>132</v>
      </c>
      <c r="F156" s="44" t="s">
        <v>147</v>
      </c>
      <c r="G156" s="44" t="s">
        <v>148</v>
      </c>
      <c r="H156">
        <v>0.08</v>
      </c>
      <c r="I156">
        <v>0</v>
      </c>
      <c r="J156" s="44" t="s">
        <v>98</v>
      </c>
      <c r="K156">
        <v>72</v>
      </c>
    </row>
    <row r="157" spans="1:11" x14ac:dyDescent="0.3">
      <c r="A157" s="44" t="s">
        <v>98</v>
      </c>
      <c r="B157" s="44" t="s">
        <v>98</v>
      </c>
      <c r="C157" s="44" t="s">
        <v>151</v>
      </c>
      <c r="D157" s="44" t="s">
        <v>200</v>
      </c>
      <c r="E157" s="44" t="s">
        <v>132</v>
      </c>
      <c r="F157" s="44" t="s">
        <v>157</v>
      </c>
      <c r="G157" s="44" t="s">
        <v>158</v>
      </c>
      <c r="H157">
        <v>0.02</v>
      </c>
      <c r="I157">
        <v>0</v>
      </c>
      <c r="J157" s="44" t="s">
        <v>98</v>
      </c>
      <c r="K157">
        <v>37.9</v>
      </c>
    </row>
    <row r="158" spans="1:11" x14ac:dyDescent="0.3">
      <c r="A158" s="44" t="s">
        <v>98</v>
      </c>
      <c r="B158" s="44" t="s">
        <v>98</v>
      </c>
      <c r="C158" s="44" t="s">
        <v>151</v>
      </c>
      <c r="D158" s="44" t="s">
        <v>200</v>
      </c>
      <c r="E158" s="44" t="s">
        <v>132</v>
      </c>
      <c r="F158" s="44" t="s">
        <v>135</v>
      </c>
      <c r="G158" s="44" t="s">
        <v>136</v>
      </c>
      <c r="H158">
        <v>0.06</v>
      </c>
      <c r="I158">
        <v>0</v>
      </c>
      <c r="J158" s="44" t="s">
        <v>98</v>
      </c>
      <c r="K158">
        <v>54.6</v>
      </c>
    </row>
    <row r="159" spans="1:11" x14ac:dyDescent="0.3">
      <c r="A159" s="44" t="s">
        <v>98</v>
      </c>
      <c r="B159" s="44" t="s">
        <v>98</v>
      </c>
      <c r="C159" s="44" t="s">
        <v>151</v>
      </c>
      <c r="D159" s="44" t="s">
        <v>200</v>
      </c>
      <c r="E159" s="44" t="s">
        <v>132</v>
      </c>
      <c r="F159" s="44" t="s">
        <v>139</v>
      </c>
      <c r="G159" s="44" t="s">
        <v>140</v>
      </c>
      <c r="H159">
        <v>0.11</v>
      </c>
      <c r="I159">
        <v>0</v>
      </c>
      <c r="J159" s="44" t="s">
        <v>98</v>
      </c>
      <c r="K159">
        <v>299.75</v>
      </c>
    </row>
    <row r="160" spans="1:11" x14ac:dyDescent="0.3">
      <c r="A160" s="44" t="s">
        <v>98</v>
      </c>
      <c r="B160" s="44" t="s">
        <v>98</v>
      </c>
      <c r="C160" s="44" t="s">
        <v>151</v>
      </c>
      <c r="D160" s="44" t="s">
        <v>200</v>
      </c>
      <c r="E160" s="44" t="s">
        <v>132</v>
      </c>
      <c r="F160" s="44" t="s">
        <v>141</v>
      </c>
      <c r="G160" s="44" t="s">
        <v>142</v>
      </c>
      <c r="H160">
        <v>0.9</v>
      </c>
      <c r="I160">
        <v>0</v>
      </c>
      <c r="J160" s="44" t="s">
        <v>98</v>
      </c>
      <c r="K160">
        <v>450</v>
      </c>
    </row>
    <row r="161" spans="1:11" x14ac:dyDescent="0.3">
      <c r="A161" s="44" t="s">
        <v>98</v>
      </c>
      <c r="B161" s="44" t="s">
        <v>98</v>
      </c>
      <c r="C161" s="44" t="s">
        <v>151</v>
      </c>
      <c r="D161" s="44" t="s">
        <v>200</v>
      </c>
      <c r="E161" s="44" t="s">
        <v>132</v>
      </c>
      <c r="F161" s="44" t="s">
        <v>147</v>
      </c>
      <c r="G161" s="44" t="s">
        <v>148</v>
      </c>
      <c r="H161">
        <v>0.06</v>
      </c>
      <c r="I161">
        <v>0</v>
      </c>
      <c r="J161" s="44" t="s">
        <v>98</v>
      </c>
      <c r="K161">
        <v>78</v>
      </c>
    </row>
    <row r="162" spans="1:11" x14ac:dyDescent="0.3">
      <c r="A162" s="44" t="s">
        <v>98</v>
      </c>
      <c r="B162" s="44" t="s">
        <v>98</v>
      </c>
      <c r="C162" s="44" t="s">
        <v>151</v>
      </c>
      <c r="D162" s="44" t="s">
        <v>201</v>
      </c>
      <c r="E162" s="44" t="s">
        <v>132</v>
      </c>
      <c r="F162" s="44" t="s">
        <v>137</v>
      </c>
      <c r="G162" s="44" t="s">
        <v>138</v>
      </c>
      <c r="H162">
        <v>0.56999999999999995</v>
      </c>
      <c r="I162">
        <v>0</v>
      </c>
      <c r="J162" s="44" t="s">
        <v>98</v>
      </c>
      <c r="K162">
        <v>1938</v>
      </c>
    </row>
    <row r="163" spans="1:11" x14ac:dyDescent="0.3">
      <c r="A163" s="44" t="s">
        <v>98</v>
      </c>
      <c r="B163" s="44" t="s">
        <v>98</v>
      </c>
      <c r="C163" s="44" t="s">
        <v>151</v>
      </c>
      <c r="D163" s="44" t="s">
        <v>201</v>
      </c>
      <c r="E163" s="44" t="s">
        <v>132</v>
      </c>
      <c r="F163" s="44" t="s">
        <v>139</v>
      </c>
      <c r="G163" s="44" t="s">
        <v>140</v>
      </c>
      <c r="H163">
        <v>0.13</v>
      </c>
      <c r="I163">
        <v>0</v>
      </c>
      <c r="J163" s="44" t="s">
        <v>98</v>
      </c>
      <c r="K163">
        <v>138.44999999999999</v>
      </c>
    </row>
    <row r="164" spans="1:11" x14ac:dyDescent="0.3">
      <c r="A164" s="44" t="s">
        <v>98</v>
      </c>
      <c r="B164" s="44" t="s">
        <v>98</v>
      </c>
      <c r="C164" s="44" t="s">
        <v>151</v>
      </c>
      <c r="D164" s="44" t="s">
        <v>201</v>
      </c>
      <c r="E164" s="44" t="s">
        <v>132</v>
      </c>
      <c r="F164" s="44" t="s">
        <v>141</v>
      </c>
      <c r="G164" s="44" t="s">
        <v>142</v>
      </c>
      <c r="H164">
        <v>0.13</v>
      </c>
      <c r="I164">
        <v>0</v>
      </c>
      <c r="J164" s="44" t="s">
        <v>98</v>
      </c>
      <c r="K164">
        <v>65</v>
      </c>
    </row>
    <row r="165" spans="1:11" x14ac:dyDescent="0.3">
      <c r="A165" s="44" t="s">
        <v>98</v>
      </c>
      <c r="B165" s="44" t="s">
        <v>98</v>
      </c>
      <c r="C165" s="44" t="s">
        <v>151</v>
      </c>
      <c r="D165" s="44" t="s">
        <v>202</v>
      </c>
      <c r="E165" s="44" t="s">
        <v>132</v>
      </c>
      <c r="F165" s="44" t="s">
        <v>139</v>
      </c>
      <c r="G165" s="44" t="s">
        <v>140</v>
      </c>
      <c r="H165">
        <v>1.83</v>
      </c>
      <c r="I165">
        <v>0</v>
      </c>
      <c r="J165" s="44" t="s">
        <v>98</v>
      </c>
      <c r="K165">
        <v>1948.95</v>
      </c>
    </row>
    <row r="166" spans="1:11" x14ac:dyDescent="0.3">
      <c r="A166" s="44" t="s">
        <v>98</v>
      </c>
      <c r="B166" s="44" t="s">
        <v>98</v>
      </c>
      <c r="C166" s="44" t="s">
        <v>151</v>
      </c>
      <c r="D166" s="44" t="s">
        <v>203</v>
      </c>
      <c r="E166" s="44" t="s">
        <v>132</v>
      </c>
      <c r="F166" s="44" t="s">
        <v>137</v>
      </c>
      <c r="G166" s="44" t="s">
        <v>138</v>
      </c>
      <c r="H166">
        <v>0.64</v>
      </c>
      <c r="I166">
        <v>0</v>
      </c>
      <c r="J166" s="44" t="s">
        <v>98</v>
      </c>
      <c r="K166">
        <v>2176</v>
      </c>
    </row>
    <row r="167" spans="1:11" x14ac:dyDescent="0.3">
      <c r="A167" s="44" t="s">
        <v>98</v>
      </c>
      <c r="B167" s="44" t="s">
        <v>98</v>
      </c>
      <c r="C167" s="44" t="s">
        <v>151</v>
      </c>
      <c r="D167" s="44" t="s">
        <v>203</v>
      </c>
      <c r="E167" s="44" t="s">
        <v>132</v>
      </c>
      <c r="F167" s="44" t="s">
        <v>139</v>
      </c>
      <c r="G167" s="44" t="s">
        <v>140</v>
      </c>
      <c r="H167">
        <v>0.65</v>
      </c>
      <c r="I167">
        <v>0</v>
      </c>
      <c r="J167" s="44" t="s">
        <v>98</v>
      </c>
      <c r="K167">
        <v>1771.25</v>
      </c>
    </row>
    <row r="168" spans="1:11" x14ac:dyDescent="0.3">
      <c r="A168" s="44" t="s">
        <v>98</v>
      </c>
      <c r="B168" s="44" t="s">
        <v>98</v>
      </c>
      <c r="C168" s="44" t="s">
        <v>151</v>
      </c>
      <c r="D168" s="44" t="s">
        <v>204</v>
      </c>
      <c r="E168" s="44" t="s">
        <v>132</v>
      </c>
      <c r="F168" s="44" t="s">
        <v>155</v>
      </c>
      <c r="G168" s="44" t="s">
        <v>156</v>
      </c>
      <c r="H168">
        <v>0.05</v>
      </c>
      <c r="I168">
        <v>0</v>
      </c>
      <c r="J168" s="44" t="s">
        <v>98</v>
      </c>
      <c r="K168">
        <v>200</v>
      </c>
    </row>
    <row r="169" spans="1:11" x14ac:dyDescent="0.3">
      <c r="A169" s="44" t="s">
        <v>98</v>
      </c>
      <c r="B169" s="44" t="s">
        <v>98</v>
      </c>
      <c r="C169" s="44" t="s">
        <v>151</v>
      </c>
      <c r="D169" s="44" t="s">
        <v>204</v>
      </c>
      <c r="E169" s="44" t="s">
        <v>132</v>
      </c>
      <c r="F169" s="44" t="s">
        <v>135</v>
      </c>
      <c r="G169" s="44" t="s">
        <v>159</v>
      </c>
      <c r="H169">
        <v>7.0000000000000007E-2</v>
      </c>
      <c r="I169">
        <v>0</v>
      </c>
      <c r="J169" s="44" t="s">
        <v>98</v>
      </c>
      <c r="K169">
        <v>35</v>
      </c>
    </row>
    <row r="170" spans="1:11" x14ac:dyDescent="0.3">
      <c r="A170" s="44" t="s">
        <v>98</v>
      </c>
      <c r="B170" s="44" t="s">
        <v>98</v>
      </c>
      <c r="C170" s="44" t="s">
        <v>151</v>
      </c>
      <c r="D170" s="44" t="s">
        <v>204</v>
      </c>
      <c r="E170" s="44" t="s">
        <v>132</v>
      </c>
      <c r="F170" s="44" t="s">
        <v>137</v>
      </c>
      <c r="G170" s="44" t="s">
        <v>138</v>
      </c>
      <c r="H170">
        <v>0.43</v>
      </c>
      <c r="I170">
        <v>0</v>
      </c>
      <c r="J170" s="44" t="s">
        <v>98</v>
      </c>
      <c r="K170">
        <v>999.75</v>
      </c>
    </row>
    <row r="171" spans="1:11" x14ac:dyDescent="0.3">
      <c r="A171" s="44" t="s">
        <v>98</v>
      </c>
      <c r="B171" s="44" t="s">
        <v>98</v>
      </c>
      <c r="C171" s="44" t="s">
        <v>151</v>
      </c>
      <c r="D171" s="44" t="s">
        <v>204</v>
      </c>
      <c r="E171" s="44" t="s">
        <v>132</v>
      </c>
      <c r="F171" s="44" t="s">
        <v>139</v>
      </c>
      <c r="G171" s="44" t="s">
        <v>140</v>
      </c>
      <c r="H171">
        <v>0.79</v>
      </c>
      <c r="I171">
        <v>0</v>
      </c>
      <c r="J171" s="44" t="s">
        <v>98</v>
      </c>
      <c r="K171">
        <v>2086.35</v>
      </c>
    </row>
    <row r="172" spans="1:11" x14ac:dyDescent="0.3">
      <c r="A172" s="44" t="s">
        <v>98</v>
      </c>
      <c r="B172" s="44" t="s">
        <v>98</v>
      </c>
      <c r="C172" s="44" t="s">
        <v>151</v>
      </c>
      <c r="D172" s="44" t="s">
        <v>204</v>
      </c>
      <c r="E172" s="44" t="s">
        <v>132</v>
      </c>
      <c r="F172" s="44" t="s">
        <v>141</v>
      </c>
      <c r="G172" s="44" t="s">
        <v>142</v>
      </c>
      <c r="H172">
        <v>1.18</v>
      </c>
      <c r="I172">
        <v>0</v>
      </c>
      <c r="J172" s="44" t="s">
        <v>98</v>
      </c>
      <c r="K172">
        <v>590</v>
      </c>
    </row>
    <row r="173" spans="1:11" x14ac:dyDescent="0.3">
      <c r="A173" s="44" t="s">
        <v>98</v>
      </c>
      <c r="B173" s="44" t="s">
        <v>98</v>
      </c>
      <c r="C173" s="44" t="s">
        <v>151</v>
      </c>
      <c r="D173" s="44" t="s">
        <v>204</v>
      </c>
      <c r="E173" s="44" t="s">
        <v>132</v>
      </c>
      <c r="F173" s="44" t="s">
        <v>143</v>
      </c>
      <c r="G173" s="44" t="s">
        <v>144</v>
      </c>
      <c r="H173">
        <v>0.14000000000000001</v>
      </c>
      <c r="I173">
        <v>0</v>
      </c>
      <c r="J173" s="44" t="s">
        <v>98</v>
      </c>
      <c r="K173">
        <v>56</v>
      </c>
    </row>
    <row r="174" spans="1:11" x14ac:dyDescent="0.3">
      <c r="A174" s="44" t="s">
        <v>98</v>
      </c>
      <c r="B174" s="44" t="s">
        <v>98</v>
      </c>
      <c r="C174" s="44" t="s">
        <v>151</v>
      </c>
      <c r="D174" s="44" t="s">
        <v>204</v>
      </c>
      <c r="E174" s="44" t="s">
        <v>132</v>
      </c>
      <c r="F174" s="44" t="s">
        <v>147</v>
      </c>
      <c r="G174" s="44" t="s">
        <v>148</v>
      </c>
      <c r="H174">
        <v>0.15</v>
      </c>
      <c r="I174">
        <v>0</v>
      </c>
      <c r="J174" s="44" t="s">
        <v>98</v>
      </c>
      <c r="K174">
        <v>150</v>
      </c>
    </row>
    <row r="175" spans="1:11" x14ac:dyDescent="0.3">
      <c r="A175" s="44" t="s">
        <v>98</v>
      </c>
      <c r="B175" s="44" t="s">
        <v>98</v>
      </c>
      <c r="C175" s="44" t="s">
        <v>151</v>
      </c>
      <c r="D175" s="44" t="s">
        <v>205</v>
      </c>
      <c r="E175" s="44" t="s">
        <v>132</v>
      </c>
      <c r="F175" s="44" t="s">
        <v>133</v>
      </c>
      <c r="G175" s="44" t="s">
        <v>134</v>
      </c>
      <c r="H175">
        <v>5.6000000000000001E-2</v>
      </c>
      <c r="I175">
        <v>0</v>
      </c>
      <c r="J175" s="44" t="s">
        <v>98</v>
      </c>
      <c r="K175">
        <v>28</v>
      </c>
    </row>
    <row r="176" spans="1:11" x14ac:dyDescent="0.3">
      <c r="A176" s="44" t="s">
        <v>98</v>
      </c>
      <c r="B176" s="44" t="s">
        <v>98</v>
      </c>
      <c r="C176" s="44" t="s">
        <v>151</v>
      </c>
      <c r="D176" s="44" t="s">
        <v>205</v>
      </c>
      <c r="E176" s="44" t="s">
        <v>132</v>
      </c>
      <c r="F176" s="44" t="s">
        <v>137</v>
      </c>
      <c r="G176" s="44" t="s">
        <v>138</v>
      </c>
      <c r="H176">
        <v>1.2</v>
      </c>
      <c r="I176">
        <v>0</v>
      </c>
      <c r="J176" s="44" t="s">
        <v>98</v>
      </c>
      <c r="K176">
        <v>2886.75</v>
      </c>
    </row>
    <row r="177" spans="1:13" x14ac:dyDescent="0.3">
      <c r="A177" s="44" t="s">
        <v>98</v>
      </c>
      <c r="B177" s="44" t="s">
        <v>98</v>
      </c>
      <c r="C177" s="44" t="s">
        <v>151</v>
      </c>
      <c r="D177" s="44" t="s">
        <v>205</v>
      </c>
      <c r="E177" s="44" t="s">
        <v>132</v>
      </c>
      <c r="F177" s="44" t="s">
        <v>139</v>
      </c>
      <c r="G177" s="44" t="s">
        <v>140</v>
      </c>
      <c r="H177">
        <v>0.6</v>
      </c>
      <c r="I177">
        <v>0</v>
      </c>
      <c r="J177" s="44" t="s">
        <v>98</v>
      </c>
      <c r="K177">
        <v>755.2</v>
      </c>
    </row>
    <row r="178" spans="1:13" x14ac:dyDescent="0.3">
      <c r="A178" s="44" t="s">
        <v>98</v>
      </c>
      <c r="B178" s="44" t="s">
        <v>98</v>
      </c>
      <c r="C178" s="44" t="s">
        <v>151</v>
      </c>
      <c r="D178" s="44" t="s">
        <v>205</v>
      </c>
      <c r="E178" s="44" t="s">
        <v>132</v>
      </c>
      <c r="F178" s="44" t="s">
        <v>141</v>
      </c>
      <c r="G178" s="44" t="s">
        <v>142</v>
      </c>
      <c r="H178">
        <v>0.32</v>
      </c>
      <c r="I178">
        <v>0</v>
      </c>
      <c r="J178" s="44" t="s">
        <v>98</v>
      </c>
      <c r="K178">
        <v>160</v>
      </c>
    </row>
    <row r="179" spans="1:13" x14ac:dyDescent="0.3">
      <c r="A179" s="44" t="s">
        <v>98</v>
      </c>
      <c r="B179" s="44" t="s">
        <v>98</v>
      </c>
      <c r="C179" s="44" t="s">
        <v>151</v>
      </c>
      <c r="D179" s="44" t="s">
        <v>205</v>
      </c>
      <c r="E179" s="44" t="s">
        <v>132</v>
      </c>
      <c r="F179" s="44" t="s">
        <v>143</v>
      </c>
      <c r="G179" s="44" t="s">
        <v>144</v>
      </c>
      <c r="H179">
        <v>0.05</v>
      </c>
      <c r="I179">
        <v>0</v>
      </c>
      <c r="J179" s="44" t="s">
        <v>98</v>
      </c>
      <c r="K179">
        <v>20</v>
      </c>
    </row>
    <row r="180" spans="1:13" x14ac:dyDescent="0.3">
      <c r="A180" s="44" t="s">
        <v>98</v>
      </c>
      <c r="B180" s="44" t="s">
        <v>98</v>
      </c>
      <c r="C180" s="44" t="s">
        <v>151</v>
      </c>
      <c r="D180" s="44" t="s">
        <v>205</v>
      </c>
      <c r="E180" s="44" t="s">
        <v>132</v>
      </c>
      <c r="F180" s="44" t="s">
        <v>147</v>
      </c>
      <c r="G180" s="44" t="s">
        <v>148</v>
      </c>
      <c r="H180">
        <v>0.03</v>
      </c>
      <c r="I180">
        <v>0</v>
      </c>
      <c r="J180" s="44" t="s">
        <v>98</v>
      </c>
      <c r="K180">
        <v>30</v>
      </c>
    </row>
    <row r="181" spans="1:13" ht="15" thickBot="1" x14ac:dyDescent="0.35">
      <c r="A181" s="44" t="s">
        <v>98</v>
      </c>
      <c r="B181" s="44" t="s">
        <v>98</v>
      </c>
      <c r="C181" s="44" t="s">
        <v>151</v>
      </c>
      <c r="D181" s="44" t="s">
        <v>206</v>
      </c>
      <c r="E181" s="44" t="s">
        <v>132</v>
      </c>
      <c r="F181" s="44" t="s">
        <v>147</v>
      </c>
      <c r="G181" s="44" t="s">
        <v>148</v>
      </c>
      <c r="H181">
        <v>0.02</v>
      </c>
      <c r="I181">
        <v>0</v>
      </c>
      <c r="J181" s="44" t="s">
        <v>98</v>
      </c>
      <c r="K181">
        <v>26</v>
      </c>
    </row>
    <row r="182" spans="1:13" ht="15" thickBot="1" x14ac:dyDescent="0.35">
      <c r="A182" s="50"/>
      <c r="B182" s="51"/>
      <c r="C182" s="51"/>
      <c r="D182" s="52" t="s">
        <v>207</v>
      </c>
      <c r="E182" s="51"/>
      <c r="F182" s="51"/>
      <c r="G182" s="51"/>
      <c r="H182" s="51">
        <f>SUM(H146:H181)</f>
        <v>18.436000000000007</v>
      </c>
      <c r="I182" s="51"/>
      <c r="J182" s="51"/>
      <c r="K182" s="53">
        <f>SUM(K146:K181)</f>
        <v>38543.4</v>
      </c>
      <c r="M182" s="43" t="s">
        <v>149</v>
      </c>
    </row>
    <row r="185" spans="1:13" x14ac:dyDescent="0.3">
      <c r="M185" s="44" t="s">
        <v>98</v>
      </c>
    </row>
    <row r="186" spans="1:13" x14ac:dyDescent="0.3">
      <c r="A186">
        <v>247901</v>
      </c>
      <c r="B186" s="44" t="s">
        <v>129</v>
      </c>
      <c r="C186" s="44" t="s">
        <v>130</v>
      </c>
      <c r="D186" s="44" t="s">
        <v>208</v>
      </c>
      <c r="E186" s="44" t="s">
        <v>132</v>
      </c>
      <c r="F186" s="44" t="s">
        <v>141</v>
      </c>
      <c r="G186" s="44" t="s">
        <v>142</v>
      </c>
      <c r="H186">
        <v>0.6</v>
      </c>
      <c r="I186" s="44"/>
      <c r="K186">
        <v>300</v>
      </c>
      <c r="M186" s="44" t="s">
        <v>98</v>
      </c>
    </row>
    <row r="187" spans="1:13" x14ac:dyDescent="0.3">
      <c r="A187">
        <v>247901</v>
      </c>
      <c r="B187" s="44" t="s">
        <v>129</v>
      </c>
      <c r="C187" s="44" t="s">
        <v>130</v>
      </c>
      <c r="D187" s="44" t="s">
        <v>208</v>
      </c>
      <c r="E187" s="44" t="s">
        <v>132</v>
      </c>
      <c r="F187" s="44" t="s">
        <v>147</v>
      </c>
      <c r="G187" s="44" t="s">
        <v>148</v>
      </c>
      <c r="H187">
        <v>1.0900000000000001</v>
      </c>
      <c r="I187" s="44"/>
      <c r="K187">
        <v>1090</v>
      </c>
      <c r="M187" s="44" t="s">
        <v>98</v>
      </c>
    </row>
    <row r="188" spans="1:13" x14ac:dyDescent="0.3">
      <c r="A188">
        <v>248002</v>
      </c>
      <c r="B188" s="44" t="s">
        <v>129</v>
      </c>
      <c r="C188" s="44" t="s">
        <v>130</v>
      </c>
      <c r="D188" s="44" t="s">
        <v>209</v>
      </c>
      <c r="E188" s="44" t="s">
        <v>132</v>
      </c>
      <c r="F188" s="44" t="s">
        <v>141</v>
      </c>
      <c r="G188" s="44" t="s">
        <v>142</v>
      </c>
      <c r="H188">
        <v>0.5</v>
      </c>
      <c r="I188" s="44"/>
      <c r="K188">
        <v>250</v>
      </c>
      <c r="M188" s="44" t="s">
        <v>98</v>
      </c>
    </row>
    <row r="189" spans="1:13" x14ac:dyDescent="0.3">
      <c r="A189" s="44" t="s">
        <v>210</v>
      </c>
      <c r="B189" s="44" t="s">
        <v>129</v>
      </c>
      <c r="C189" s="44" t="s">
        <v>130</v>
      </c>
      <c r="D189" s="44" t="s">
        <v>211</v>
      </c>
      <c r="E189" s="44" t="s">
        <v>132</v>
      </c>
      <c r="F189" s="44" t="s">
        <v>143</v>
      </c>
      <c r="G189" s="44" t="s">
        <v>144</v>
      </c>
      <c r="H189">
        <v>6.54</v>
      </c>
      <c r="I189" s="44"/>
      <c r="K189">
        <v>2616</v>
      </c>
      <c r="M189" s="44" t="s">
        <v>98</v>
      </c>
    </row>
    <row r="190" spans="1:13" x14ac:dyDescent="0.3">
      <c r="A190">
        <v>248398</v>
      </c>
      <c r="B190" s="44" t="s">
        <v>129</v>
      </c>
      <c r="C190" s="44" t="s">
        <v>130</v>
      </c>
      <c r="D190" s="44" t="s">
        <v>212</v>
      </c>
      <c r="E190" s="44" t="s">
        <v>132</v>
      </c>
      <c r="F190" s="44" t="s">
        <v>147</v>
      </c>
      <c r="G190" s="44" t="s">
        <v>148</v>
      </c>
      <c r="H190">
        <v>0.18</v>
      </c>
      <c r="I190" s="44"/>
      <c r="K190">
        <v>246</v>
      </c>
      <c r="M190" s="44" t="s">
        <v>98</v>
      </c>
    </row>
    <row r="191" spans="1:13" ht="15" thickBot="1" x14ac:dyDescent="0.35">
      <c r="A191">
        <v>248657</v>
      </c>
      <c r="B191" s="44" t="s">
        <v>129</v>
      </c>
      <c r="C191" s="44" t="s">
        <v>130</v>
      </c>
      <c r="D191" s="44" t="s">
        <v>213</v>
      </c>
      <c r="E191" s="44" t="s">
        <v>132</v>
      </c>
      <c r="F191" s="44" t="s">
        <v>143</v>
      </c>
      <c r="G191" s="44" t="s">
        <v>144</v>
      </c>
      <c r="H191">
        <v>2.2200000000000002</v>
      </c>
      <c r="I191" s="44"/>
      <c r="K191">
        <v>888</v>
      </c>
      <c r="M191" s="44" t="s">
        <v>98</v>
      </c>
    </row>
    <row r="192" spans="1:13" ht="15" thickBot="1" x14ac:dyDescent="0.35">
      <c r="A192" s="45"/>
      <c r="B192" s="46"/>
      <c r="C192" s="46"/>
      <c r="D192" s="47" t="s">
        <v>214</v>
      </c>
      <c r="E192" s="46"/>
      <c r="F192" s="46"/>
      <c r="G192" s="46"/>
      <c r="H192" s="46">
        <f>SUM(H186:H191)</f>
        <v>11.13</v>
      </c>
      <c r="I192" s="46"/>
      <c r="J192" s="46"/>
      <c r="K192" s="48"/>
      <c r="M192" s="43" t="s">
        <v>149</v>
      </c>
    </row>
    <row r="194" spans="1:13" ht="15" thickBot="1" x14ac:dyDescent="0.35">
      <c r="A194">
        <v>179680</v>
      </c>
      <c r="B194" s="44" t="s">
        <v>215</v>
      </c>
      <c r="C194" s="44" t="s">
        <v>130</v>
      </c>
      <c r="D194" s="44" t="s">
        <v>216</v>
      </c>
      <c r="E194" s="44" t="s">
        <v>132</v>
      </c>
      <c r="F194" s="44" t="s">
        <v>143</v>
      </c>
      <c r="G194" s="44" t="s">
        <v>144</v>
      </c>
      <c r="H194">
        <v>8.65</v>
      </c>
      <c r="K194">
        <v>6812.5</v>
      </c>
    </row>
    <row r="195" spans="1:13" ht="15" thickBot="1" x14ac:dyDescent="0.35">
      <c r="A195" s="45"/>
      <c r="B195" s="46"/>
      <c r="C195" s="46"/>
      <c r="D195" s="47" t="s">
        <v>217</v>
      </c>
      <c r="E195" s="46"/>
      <c r="F195" s="46"/>
      <c r="G195" s="46"/>
      <c r="H195" s="46">
        <f>SUM(H194)</f>
        <v>8.65</v>
      </c>
      <c r="I195" s="46"/>
      <c r="J195" s="46"/>
      <c r="K195" s="48">
        <f>SUM(K194)</f>
        <v>6812.5</v>
      </c>
      <c r="M195" s="43" t="s">
        <v>149</v>
      </c>
    </row>
    <row r="197" spans="1:13" ht="15" thickBot="1" x14ac:dyDescent="0.35">
      <c r="A197" s="43" t="s">
        <v>218</v>
      </c>
    </row>
    <row r="198" spans="1:13" x14ac:dyDescent="0.3">
      <c r="A198" s="54" t="s">
        <v>219</v>
      </c>
      <c r="B198" s="55"/>
      <c r="C198" s="55"/>
      <c r="D198" s="55"/>
      <c r="E198" s="55"/>
      <c r="F198" s="55" t="s">
        <v>220</v>
      </c>
      <c r="G198" s="55" t="s">
        <v>221</v>
      </c>
      <c r="H198" s="55">
        <v>3.63</v>
      </c>
      <c r="I198" s="55"/>
      <c r="J198" s="55"/>
      <c r="K198" s="56">
        <v>32760.75</v>
      </c>
    </row>
    <row r="199" spans="1:13" x14ac:dyDescent="0.3">
      <c r="A199" s="57" t="s">
        <v>219</v>
      </c>
      <c r="F199" t="s">
        <v>222</v>
      </c>
      <c r="G199" t="s">
        <v>223</v>
      </c>
      <c r="H199">
        <v>107.88699999999999</v>
      </c>
      <c r="K199" s="58">
        <v>204446.48</v>
      </c>
    </row>
    <row r="200" spans="1:13" x14ac:dyDescent="0.3">
      <c r="A200" s="57" t="s">
        <v>219</v>
      </c>
      <c r="F200" t="s">
        <v>224</v>
      </c>
      <c r="G200" t="s">
        <v>225</v>
      </c>
      <c r="H200">
        <v>1.04</v>
      </c>
      <c r="K200" s="58">
        <v>785.2</v>
      </c>
    </row>
    <row r="201" spans="1:13" x14ac:dyDescent="0.3">
      <c r="A201" s="57" t="s">
        <v>219</v>
      </c>
      <c r="F201" t="s">
        <v>226</v>
      </c>
      <c r="G201" t="s">
        <v>227</v>
      </c>
      <c r="H201">
        <v>0.35</v>
      </c>
      <c r="K201" s="58">
        <v>215.25</v>
      </c>
    </row>
    <row r="202" spans="1:13" x14ac:dyDescent="0.3">
      <c r="A202" s="57" t="s">
        <v>219</v>
      </c>
      <c r="F202" t="s">
        <v>228</v>
      </c>
      <c r="G202" t="s">
        <v>229</v>
      </c>
      <c r="H202">
        <v>0.51</v>
      </c>
      <c r="K202" s="58">
        <v>966.45</v>
      </c>
    </row>
    <row r="203" spans="1:13" x14ac:dyDescent="0.3">
      <c r="A203" s="57" t="s">
        <v>219</v>
      </c>
      <c r="F203" t="s">
        <v>153</v>
      </c>
      <c r="G203" t="s">
        <v>154</v>
      </c>
      <c r="H203">
        <v>15.717999999999998</v>
      </c>
      <c r="K203" s="58">
        <v>920</v>
      </c>
    </row>
    <row r="204" spans="1:13" x14ac:dyDescent="0.3">
      <c r="A204" s="57" t="s">
        <v>219</v>
      </c>
      <c r="F204" t="s">
        <v>155</v>
      </c>
      <c r="G204" t="s">
        <v>156</v>
      </c>
      <c r="H204">
        <v>9.8709999999999969</v>
      </c>
      <c r="K204" s="58">
        <v>26764</v>
      </c>
    </row>
    <row r="205" spans="1:13" x14ac:dyDescent="0.3">
      <c r="A205" s="57" t="s">
        <v>219</v>
      </c>
      <c r="F205" t="s">
        <v>230</v>
      </c>
      <c r="G205" t="s">
        <v>231</v>
      </c>
      <c r="H205">
        <v>0.92800000000000005</v>
      </c>
      <c r="K205" s="58">
        <v>0</v>
      </c>
    </row>
    <row r="206" spans="1:13" x14ac:dyDescent="0.3">
      <c r="A206" s="57" t="s">
        <v>219</v>
      </c>
      <c r="F206" t="s">
        <v>232</v>
      </c>
      <c r="G206" t="s">
        <v>233</v>
      </c>
      <c r="H206">
        <v>1.8599999999999999</v>
      </c>
      <c r="K206" s="58">
        <v>1528.92</v>
      </c>
    </row>
    <row r="207" spans="1:13" x14ac:dyDescent="0.3">
      <c r="A207" s="57" t="s">
        <v>219</v>
      </c>
      <c r="F207" t="s">
        <v>133</v>
      </c>
      <c r="G207" t="s">
        <v>134</v>
      </c>
      <c r="H207">
        <v>0.92500000000000016</v>
      </c>
      <c r="K207" s="58">
        <v>2355</v>
      </c>
    </row>
    <row r="208" spans="1:13" x14ac:dyDescent="0.3">
      <c r="A208" s="57" t="s">
        <v>219</v>
      </c>
      <c r="F208" t="s">
        <v>157</v>
      </c>
      <c r="G208" t="s">
        <v>158</v>
      </c>
      <c r="H208">
        <v>10.199999999999999</v>
      </c>
      <c r="K208" s="58">
        <v>19644.750000000004</v>
      </c>
    </row>
    <row r="209" spans="1:18" x14ac:dyDescent="0.3">
      <c r="A209" s="57" t="s">
        <v>219</v>
      </c>
      <c r="F209" t="s">
        <v>135</v>
      </c>
      <c r="G209" t="s">
        <v>136</v>
      </c>
      <c r="H209">
        <v>17.659999999999997</v>
      </c>
      <c r="K209" s="58">
        <v>6947.8</v>
      </c>
    </row>
    <row r="210" spans="1:18" x14ac:dyDescent="0.3">
      <c r="A210" s="57" t="s">
        <v>219</v>
      </c>
      <c r="F210" t="s">
        <v>157</v>
      </c>
      <c r="G210" t="s">
        <v>234</v>
      </c>
      <c r="H210">
        <v>0.05</v>
      </c>
      <c r="K210" s="58">
        <v>94.75</v>
      </c>
    </row>
    <row r="211" spans="1:18" x14ac:dyDescent="0.3">
      <c r="A211" s="57" t="s">
        <v>219</v>
      </c>
      <c r="F211" t="s">
        <v>139</v>
      </c>
      <c r="G211" t="s">
        <v>140</v>
      </c>
      <c r="H211">
        <v>121.13199999999995</v>
      </c>
      <c r="K211" s="58">
        <v>230101.23999999996</v>
      </c>
    </row>
    <row r="212" spans="1:18" x14ac:dyDescent="0.3">
      <c r="A212" s="57" t="s">
        <v>219</v>
      </c>
      <c r="F212" t="s">
        <v>135</v>
      </c>
      <c r="G212" t="s">
        <v>235</v>
      </c>
      <c r="H212">
        <v>0.03</v>
      </c>
      <c r="K212" s="58">
        <v>0</v>
      </c>
    </row>
    <row r="213" spans="1:18" x14ac:dyDescent="0.3">
      <c r="A213" s="57" t="s">
        <v>219</v>
      </c>
      <c r="F213" t="s">
        <v>141</v>
      </c>
      <c r="G213" t="s">
        <v>142</v>
      </c>
      <c r="H213">
        <v>42.296999999999983</v>
      </c>
      <c r="K213" s="58">
        <v>21148.5</v>
      </c>
    </row>
    <row r="214" spans="1:18" x14ac:dyDescent="0.3">
      <c r="A214" s="57" t="s">
        <v>219</v>
      </c>
      <c r="F214" t="s">
        <v>143</v>
      </c>
      <c r="G214" t="s">
        <v>144</v>
      </c>
      <c r="H214">
        <v>49.938000000000002</v>
      </c>
      <c r="K214" s="58">
        <v>36654.860000000008</v>
      </c>
    </row>
    <row r="215" spans="1:18" ht="15" thickBot="1" x14ac:dyDescent="0.35">
      <c r="A215" s="59" t="s">
        <v>219</v>
      </c>
      <c r="B215" s="60"/>
      <c r="C215" s="60"/>
      <c r="D215" s="60"/>
      <c r="E215" s="60"/>
      <c r="F215" s="60" t="s">
        <v>147</v>
      </c>
      <c r="G215" s="60" t="s">
        <v>148</v>
      </c>
      <c r="H215" s="60">
        <v>17.476999999999997</v>
      </c>
      <c r="I215" s="60"/>
      <c r="J215" s="60"/>
      <c r="K215" s="61">
        <v>20031.3</v>
      </c>
    </row>
    <row r="216" spans="1:18" ht="15" thickBot="1" x14ac:dyDescent="0.35">
      <c r="F216" s="45" t="s">
        <v>236</v>
      </c>
      <c r="G216" s="46"/>
      <c r="H216" s="46">
        <f>SUM(H198:H215)</f>
        <v>401.50299999999987</v>
      </c>
      <c r="I216" s="46"/>
      <c r="J216" s="46"/>
      <c r="K216" s="48">
        <f>SUM(K198:K215)</f>
        <v>605365.25</v>
      </c>
      <c r="M216" s="43" t="s">
        <v>149</v>
      </c>
    </row>
    <row r="217" spans="1:18" hidden="1" x14ac:dyDescent="0.3">
      <c r="H217">
        <f>SUBTOTAL(9,H2:H216)</f>
        <v>2000.6059999999995</v>
      </c>
      <c r="I217">
        <v>195.10400000000013</v>
      </c>
    </row>
    <row r="218" spans="1:18" x14ac:dyDescent="0.3">
      <c r="H218">
        <f>SUBTOTAL(9,H2:H202)</f>
        <v>1311.0169999999994</v>
      </c>
      <c r="M218" t="s">
        <v>299</v>
      </c>
      <c r="N218">
        <f>H218+H220+H221+H222+I219+H224</f>
        <v>1541.0169999999994</v>
      </c>
      <c r="P218" t="s">
        <v>302</v>
      </c>
      <c r="Q218" t="s">
        <v>300</v>
      </c>
      <c r="R218" t="s">
        <v>303</v>
      </c>
    </row>
    <row r="219" spans="1:18" x14ac:dyDescent="0.3">
      <c r="G219" s="44" t="s">
        <v>322</v>
      </c>
      <c r="H219">
        <v>250</v>
      </c>
      <c r="K219">
        <f>K25+K11</f>
        <v>493624.57</v>
      </c>
      <c r="O219">
        <v>2023</v>
      </c>
      <c r="P219" s="11">
        <v>24791000</v>
      </c>
      <c r="Q219" s="11">
        <f>1589000+1458000+1780000+1236000</f>
        <v>6063000</v>
      </c>
      <c r="R219" s="11">
        <f>P219-Q219</f>
        <v>18728000</v>
      </c>
    </row>
    <row r="220" spans="1:18" x14ac:dyDescent="0.3">
      <c r="G220" s="44" t="s">
        <v>321</v>
      </c>
      <c r="H220">
        <v>60</v>
      </c>
      <c r="M220" t="s">
        <v>300</v>
      </c>
      <c r="N220">
        <f>H219+H223-I219</f>
        <v>250</v>
      </c>
      <c r="P220" s="11"/>
      <c r="Q220" s="11"/>
      <c r="R220" s="11"/>
    </row>
    <row r="221" spans="1:18" x14ac:dyDescent="0.3">
      <c r="G221" s="44" t="s">
        <v>323</v>
      </c>
      <c r="H221">
        <v>170</v>
      </c>
      <c r="O221">
        <v>2024</v>
      </c>
      <c r="P221" s="11"/>
      <c r="Q221" s="11">
        <f>3674000+2135000+2061000</f>
        <v>7870000</v>
      </c>
      <c r="R221" s="11">
        <v>9661000</v>
      </c>
    </row>
    <row r="222" spans="1:18" x14ac:dyDescent="0.3">
      <c r="N222">
        <f>N218+N220</f>
        <v>1791.0169999999994</v>
      </c>
      <c r="P222" s="11">
        <f>Q222+R222</f>
        <v>29815333.333333336</v>
      </c>
      <c r="Q222" s="11">
        <f>Q221/3*4</f>
        <v>10493333.333333334</v>
      </c>
      <c r="R222" s="11">
        <f>R221*2</f>
        <v>19322000</v>
      </c>
    </row>
    <row r="225" spans="8:18" hidden="1" x14ac:dyDescent="0.3">
      <c r="N225" t="s">
        <v>304</v>
      </c>
      <c r="O225" t="s">
        <v>299</v>
      </c>
    </row>
    <row r="226" spans="8:18" hidden="1" x14ac:dyDescent="0.3">
      <c r="N226">
        <v>2023</v>
      </c>
      <c r="Q226">
        <v>2024</v>
      </c>
    </row>
    <row r="227" spans="8:18" hidden="1" x14ac:dyDescent="0.3">
      <c r="N227">
        <v>1662341</v>
      </c>
      <c r="O227">
        <v>4151000</v>
      </c>
      <c r="Q227">
        <v>940000</v>
      </c>
      <c r="R227">
        <v>6725000</v>
      </c>
    </row>
    <row r="228" spans="8:18" hidden="1" x14ac:dyDescent="0.3">
      <c r="N228">
        <v>600000</v>
      </c>
      <c r="Q228">
        <v>350000</v>
      </c>
    </row>
    <row r="229" spans="8:18" hidden="1" x14ac:dyDescent="0.3">
      <c r="N229">
        <f>O229*1.25</f>
        <v>8016676.25</v>
      </c>
      <c r="O229">
        <f>N227+N228+O227</f>
        <v>6413341</v>
      </c>
      <c r="Q229">
        <f>R229*1.25</f>
        <v>10018750</v>
      </c>
      <c r="R229">
        <f>Q227+Q228+R227</f>
        <v>8015000</v>
      </c>
    </row>
    <row r="230" spans="8:18" hidden="1" x14ac:dyDescent="0.3">
      <c r="N230">
        <v>16841</v>
      </c>
      <c r="Q230">
        <f>18877-7167</f>
        <v>11710</v>
      </c>
    </row>
    <row r="231" spans="8:18" hidden="1" x14ac:dyDescent="0.3"/>
    <row r="232" spans="8:18" hidden="1" x14ac:dyDescent="0.3">
      <c r="N232">
        <f>N229/N230</f>
        <v>476.02139124755064</v>
      </c>
      <c r="Q232">
        <f>Q229/Q230</f>
        <v>855.57216054654145</v>
      </c>
    </row>
    <row r="233" spans="8:18" hidden="1" x14ac:dyDescent="0.3">
      <c r="N233">
        <f>N232+145</f>
        <v>621.02139124755058</v>
      </c>
      <c r="Q233">
        <f>Q232+145</f>
        <v>1000.5721605465415</v>
      </c>
    </row>
    <row r="234" spans="8:18" hidden="1" x14ac:dyDescent="0.3">
      <c r="N234">
        <f>3000*1.25</f>
        <v>3750</v>
      </c>
      <c r="Q234">
        <f>3200*1.25</f>
        <v>4000</v>
      </c>
    </row>
    <row r="240" spans="8:18" x14ac:dyDescent="0.3">
      <c r="H240">
        <v>2024</v>
      </c>
    </row>
    <row r="241" spans="7:20" x14ac:dyDescent="0.3">
      <c r="G241" t="s">
        <v>322</v>
      </c>
      <c r="H241">
        <v>258.75700000000001</v>
      </c>
      <c r="L241" s="393">
        <v>2024</v>
      </c>
      <c r="M241" s="393"/>
      <c r="N241" s="393"/>
      <c r="O241" s="393"/>
      <c r="Q241" s="393">
        <v>2023</v>
      </c>
      <c r="R241" s="393"/>
      <c r="S241" s="393"/>
      <c r="T241" s="393"/>
    </row>
    <row r="242" spans="7:20" x14ac:dyDescent="0.3">
      <c r="G242" t="s">
        <v>321</v>
      </c>
      <c r="H242">
        <v>57.578000000000003</v>
      </c>
      <c r="L242" t="s">
        <v>299</v>
      </c>
      <c r="M242">
        <f>H241</f>
        <v>258.75700000000001</v>
      </c>
      <c r="O242">
        <f>M242*Q233</f>
        <v>258905.05054654143</v>
      </c>
      <c r="Q242" t="s">
        <v>299</v>
      </c>
      <c r="R242">
        <f>H219</f>
        <v>250</v>
      </c>
      <c r="T242">
        <f>R242*N233</f>
        <v>155255.34781188765</v>
      </c>
    </row>
    <row r="243" spans="7:20" x14ac:dyDescent="0.3">
      <c r="G243" t="s">
        <v>323</v>
      </c>
      <c r="H243">
        <v>172.89</v>
      </c>
    </row>
    <row r="244" spans="7:20" x14ac:dyDescent="0.3">
      <c r="G244">
        <v>200138</v>
      </c>
      <c r="H244">
        <v>124.163</v>
      </c>
      <c r="L244" t="s">
        <v>300</v>
      </c>
      <c r="M244">
        <f>H243</f>
        <v>172.89</v>
      </c>
      <c r="O244">
        <f>Q234*M244</f>
        <v>691560</v>
      </c>
      <c r="Q244" t="s">
        <v>300</v>
      </c>
      <c r="R244">
        <f>H221</f>
        <v>170</v>
      </c>
      <c r="T244">
        <f>R244*N234</f>
        <v>637500</v>
      </c>
    </row>
    <row r="245" spans="7:20" x14ac:dyDescent="0.3">
      <c r="G245">
        <v>200301</v>
      </c>
      <c r="H245">
        <v>71.296999999999997</v>
      </c>
    </row>
    <row r="246" spans="7:20" x14ac:dyDescent="0.3">
      <c r="G246">
        <v>200303</v>
      </c>
      <c r="H246">
        <v>175.38</v>
      </c>
      <c r="M246">
        <f>SUM(M242:M244)</f>
        <v>431.64699999999999</v>
      </c>
      <c r="O246">
        <f>O242+O244</f>
        <v>950465.05054654146</v>
      </c>
      <c r="R246">
        <f>SUM(R242:R244)</f>
        <v>420</v>
      </c>
      <c r="T246">
        <f>T242+T244</f>
        <v>792755.34781188762</v>
      </c>
    </row>
    <row r="247" spans="7:20" x14ac:dyDescent="0.3">
      <c r="G247">
        <v>200307</v>
      </c>
      <c r="H247">
        <v>194.45339999999999</v>
      </c>
      <c r="I247">
        <v>4.4249999999999998</v>
      </c>
      <c r="R247">
        <v>480</v>
      </c>
    </row>
    <row r="248" spans="7:20" x14ac:dyDescent="0.3">
      <c r="G248">
        <v>7213</v>
      </c>
      <c r="H248">
        <v>85.063999999999993</v>
      </c>
      <c r="L248" t="s">
        <v>307</v>
      </c>
      <c r="M248">
        <f>H251-M246</f>
        <v>581.35300000000007</v>
      </c>
      <c r="O248">
        <v>1471239</v>
      </c>
      <c r="Q248" t="s">
        <v>307</v>
      </c>
      <c r="R248">
        <f>R247-R246</f>
        <v>60</v>
      </c>
      <c r="T248">
        <v>1317389</v>
      </c>
    </row>
    <row r="249" spans="7:20" x14ac:dyDescent="0.3">
      <c r="G249" t="s">
        <v>305</v>
      </c>
      <c r="H249">
        <f>7+5.39</f>
        <v>12.39</v>
      </c>
    </row>
    <row r="250" spans="7:20" x14ac:dyDescent="0.3">
      <c r="G250" t="s">
        <v>301</v>
      </c>
      <c r="H250">
        <f>SUM(H242:H249)</f>
        <v>893.21539999999993</v>
      </c>
      <c r="O250">
        <f>O248-O246</f>
        <v>520773.94945345854</v>
      </c>
      <c r="T250">
        <f>T248-T246</f>
        <v>524633.65218811238</v>
      </c>
    </row>
    <row r="251" spans="7:20" x14ac:dyDescent="0.3">
      <c r="H251">
        <v>1013</v>
      </c>
    </row>
    <row r="252" spans="7:20" x14ac:dyDescent="0.3">
      <c r="H252">
        <f>H251-H250</f>
        <v>119.78460000000007</v>
      </c>
    </row>
    <row r="253" spans="7:20" x14ac:dyDescent="0.3">
      <c r="N253" t="s">
        <v>324</v>
      </c>
      <c r="T253">
        <f>T246-K219</f>
        <v>299130.77781188762</v>
      </c>
    </row>
  </sheetData>
  <autoFilter ref="A1:M216" xr:uid="{E9DA1803-6512-4930-AB8D-114CA84FAB2D}"/>
  <mergeCells count="2">
    <mergeCell ref="L241:O241"/>
    <mergeCell ref="Q241:T24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8952-B24A-4B44-8CFB-2421AD007EEB}">
  <dimension ref="A1:L286"/>
  <sheetViews>
    <sheetView tabSelected="1" topLeftCell="A244" zoomScale="80" zoomScaleNormal="80" workbookViewId="0">
      <selection activeCell="F249" sqref="F249"/>
    </sheetView>
  </sheetViews>
  <sheetFormatPr defaultColWidth="9.109375" defaultRowHeight="21" x14ac:dyDescent="0.4"/>
  <cols>
    <col min="1" max="1" width="63.33203125" style="62" customWidth="1"/>
    <col min="2" max="7" width="29" style="62" customWidth="1"/>
    <col min="8" max="8" width="22.6640625" style="62" customWidth="1"/>
    <col min="9" max="9" width="23.33203125" style="62" customWidth="1"/>
    <col min="10" max="10" width="25.88671875" style="62" customWidth="1"/>
    <col min="11" max="11" width="24.5546875" style="62" customWidth="1"/>
    <col min="12" max="12" width="21.88671875" style="62" customWidth="1"/>
    <col min="13" max="16384" width="9.109375" style="62"/>
  </cols>
  <sheetData>
    <row r="1" spans="1:12" x14ac:dyDescent="0.4">
      <c r="A1" s="62" t="s">
        <v>116</v>
      </c>
    </row>
    <row r="2" spans="1:12" x14ac:dyDescent="0.4">
      <c r="A2" s="62" t="s">
        <v>117</v>
      </c>
    </row>
    <row r="3" spans="1:12" x14ac:dyDescent="0.4">
      <c r="A3" s="62">
        <v>4150</v>
      </c>
    </row>
    <row r="4" spans="1:12" x14ac:dyDescent="0.4">
      <c r="A4" s="62">
        <f>A3*4</f>
        <v>16600</v>
      </c>
    </row>
    <row r="6" spans="1:12" x14ac:dyDescent="0.4">
      <c r="A6" s="62" t="s">
        <v>261</v>
      </c>
      <c r="D6" s="63" t="s">
        <v>265</v>
      </c>
      <c r="E6" s="63"/>
      <c r="F6" s="63"/>
      <c r="G6" s="399" t="s">
        <v>266</v>
      </c>
      <c r="H6" s="399"/>
    </row>
    <row r="7" spans="1:12" x14ac:dyDescent="0.4">
      <c r="D7" s="62">
        <v>2023</v>
      </c>
      <c r="G7" s="62">
        <v>2023</v>
      </c>
      <c r="H7" s="62">
        <v>2024</v>
      </c>
    </row>
    <row r="8" spans="1:12" x14ac:dyDescent="0.4">
      <c r="A8" s="62" t="s">
        <v>262</v>
      </c>
    </row>
    <row r="9" spans="1:12" x14ac:dyDescent="0.4">
      <c r="A9" s="62" t="s">
        <v>263</v>
      </c>
    </row>
    <row r="10" spans="1:12" x14ac:dyDescent="0.4">
      <c r="A10" s="62" t="s">
        <v>264</v>
      </c>
    </row>
    <row r="11" spans="1:12" x14ac:dyDescent="0.4">
      <c r="A11" s="62" t="s">
        <v>133</v>
      </c>
      <c r="D11" s="62">
        <v>1.704</v>
      </c>
      <c r="G11" s="62">
        <v>1.361</v>
      </c>
    </row>
    <row r="12" spans="1:12" x14ac:dyDescent="0.4">
      <c r="A12" s="62" t="s">
        <v>267</v>
      </c>
    </row>
    <row r="13" spans="1:12" x14ac:dyDescent="0.4">
      <c r="A13" s="62" t="s">
        <v>268</v>
      </c>
    </row>
    <row r="14" spans="1:12" x14ac:dyDescent="0.4">
      <c r="A14" s="62" t="s">
        <v>271</v>
      </c>
      <c r="L14" s="62">
        <v>2024</v>
      </c>
    </row>
    <row r="15" spans="1:12" ht="25.8" thickBot="1" x14ac:dyDescent="0.5">
      <c r="A15" s="415" t="s">
        <v>383</v>
      </c>
      <c r="B15" s="415"/>
      <c r="C15" s="415"/>
      <c r="D15" s="415"/>
      <c r="E15" s="415"/>
      <c r="F15" s="415"/>
      <c r="G15" s="415"/>
      <c r="I15" s="64"/>
      <c r="J15" s="64"/>
      <c r="K15" s="64"/>
      <c r="L15" s="64"/>
    </row>
    <row r="16" spans="1:12" x14ac:dyDescent="0.4">
      <c r="A16" s="400" t="s">
        <v>331</v>
      </c>
      <c r="B16" s="401"/>
      <c r="C16" s="401"/>
      <c r="D16" s="402"/>
      <c r="E16" s="403"/>
      <c r="F16" s="403"/>
      <c r="G16" s="404"/>
      <c r="I16" s="64"/>
      <c r="J16" s="64"/>
    </row>
    <row r="17" spans="1:10" x14ac:dyDescent="0.4">
      <c r="A17" s="72"/>
      <c r="B17" s="203">
        <v>2021</v>
      </c>
      <c r="C17" s="203">
        <v>2022</v>
      </c>
      <c r="D17" s="73">
        <v>2023</v>
      </c>
      <c r="E17" s="353">
        <v>2024</v>
      </c>
      <c r="F17" s="353" t="s">
        <v>468</v>
      </c>
      <c r="G17" s="74" t="s">
        <v>276</v>
      </c>
    </row>
    <row r="18" spans="1:10" x14ac:dyDescent="0.4">
      <c r="A18" s="69" t="s">
        <v>99</v>
      </c>
      <c r="B18" s="68">
        <v>73346254</v>
      </c>
      <c r="C18" s="70">
        <v>81867310</v>
      </c>
      <c r="D18" s="68">
        <v>90483384.060000002</v>
      </c>
      <c r="E18" s="354">
        <v>102468219.33</v>
      </c>
      <c r="F18" s="354">
        <v>76851531.560000002</v>
      </c>
      <c r="G18" s="70">
        <v>72241197.25</v>
      </c>
      <c r="J18" s="62" t="s">
        <v>297</v>
      </c>
    </row>
    <row r="19" spans="1:10" x14ac:dyDescent="0.4">
      <c r="A19" s="69" t="s">
        <v>84</v>
      </c>
      <c r="B19" s="68">
        <v>16975158</v>
      </c>
      <c r="C19" s="70">
        <v>18989362</v>
      </c>
      <c r="D19" s="68">
        <v>22555224.389999997</v>
      </c>
      <c r="E19" s="354">
        <v>25623545.149999999</v>
      </c>
      <c r="F19" s="354">
        <f>15436908.63+585906+530535</f>
        <v>16553349.630000001</v>
      </c>
      <c r="G19" s="70">
        <v>17702606.480000004</v>
      </c>
    </row>
    <row r="20" spans="1:10" ht="21.6" thickBot="1" x14ac:dyDescent="0.45">
      <c r="A20" s="75" t="s">
        <v>84</v>
      </c>
      <c r="B20" s="76">
        <f t="shared" ref="B20:C20" si="0">B19/B18</f>
        <v>0.23143864988660498</v>
      </c>
      <c r="C20" s="76">
        <f t="shared" si="0"/>
        <v>0.23195292479989876</v>
      </c>
      <c r="D20" s="76">
        <f>D19/D18</f>
        <v>0.24927476601718954</v>
      </c>
      <c r="E20" s="76">
        <f t="shared" ref="E20:F20" si="1">E19/E18</f>
        <v>0.25006333980957646</v>
      </c>
      <c r="F20" s="76">
        <f t="shared" si="1"/>
        <v>0.21539388082430561</v>
      </c>
      <c r="G20" s="76">
        <f>G19/G18</f>
        <v>0.24504863089045778</v>
      </c>
    </row>
    <row r="21" spans="1:10" ht="21.6" thickBot="1" x14ac:dyDescent="0.45">
      <c r="A21" s="135"/>
      <c r="B21" s="205"/>
      <c r="C21" s="205"/>
      <c r="D21" s="136"/>
      <c r="E21" s="356"/>
      <c r="F21" s="356"/>
      <c r="G21" s="137"/>
    </row>
    <row r="22" spans="1:10" x14ac:dyDescent="0.4">
      <c r="A22" s="400" t="s">
        <v>332</v>
      </c>
      <c r="B22" s="401"/>
      <c r="C22" s="401"/>
      <c r="D22" s="402"/>
      <c r="E22" s="403"/>
      <c r="F22" s="403"/>
      <c r="G22" s="404"/>
    </row>
    <row r="23" spans="1:10" x14ac:dyDescent="0.4">
      <c r="A23" s="69"/>
      <c r="B23" s="217">
        <v>2021</v>
      </c>
      <c r="C23" s="217">
        <v>2022</v>
      </c>
      <c r="D23" s="78">
        <v>2023</v>
      </c>
      <c r="E23" s="353">
        <v>2024</v>
      </c>
      <c r="F23" s="353" t="s">
        <v>468</v>
      </c>
      <c r="G23" s="81" t="s">
        <v>276</v>
      </c>
    </row>
    <row r="24" spans="1:10" x14ac:dyDescent="0.4">
      <c r="A24" s="69" t="s">
        <v>284</v>
      </c>
      <c r="B24" s="79">
        <v>84011</v>
      </c>
      <c r="C24" s="82">
        <v>77309</v>
      </c>
      <c r="D24" s="79">
        <f>18609+30250+21545</f>
        <v>70404</v>
      </c>
      <c r="E24" s="357">
        <v>80890</v>
      </c>
      <c r="F24" s="357">
        <v>42497</v>
      </c>
      <c r="G24" s="82">
        <v>49810</v>
      </c>
    </row>
    <row r="25" spans="1:10" x14ac:dyDescent="0.4">
      <c r="A25" s="69" t="s">
        <v>285</v>
      </c>
      <c r="B25" s="68">
        <f>1113483+1520055+1609213+431331</f>
        <v>4674082</v>
      </c>
      <c r="C25" s="70">
        <f>1837825+590909+1700693</f>
        <v>4129427</v>
      </c>
      <c r="D25" s="68">
        <f>483634+1439775+1850737</f>
        <v>3774146</v>
      </c>
      <c r="E25" s="354">
        <f>145721+1411324+1450779+1247407+33634+53584+4562</f>
        <v>4347011</v>
      </c>
      <c r="F25" s="354">
        <f>3405313.85-585906-530535</f>
        <v>2288872.85</v>
      </c>
      <c r="G25" s="70">
        <f>683173+1064267+990909+142303</f>
        <v>2880652</v>
      </c>
    </row>
    <row r="26" spans="1:10" x14ac:dyDescent="0.4">
      <c r="A26" s="69" t="s">
        <v>286</v>
      </c>
      <c r="B26" s="80">
        <f>B25/B24</f>
        <v>55.636547594957804</v>
      </c>
      <c r="C26" s="83">
        <f>C25/C24</f>
        <v>53.414570101799271</v>
      </c>
      <c r="D26" s="80">
        <f>D25/D24</f>
        <v>53.606982557809218</v>
      </c>
      <c r="E26" s="80">
        <f t="shared" ref="E26:F26" si="2">E25/E24</f>
        <v>53.739782420571146</v>
      </c>
      <c r="F26" s="80">
        <f t="shared" si="2"/>
        <v>53.859633621196792</v>
      </c>
      <c r="G26" s="83">
        <f>G25/G24</f>
        <v>57.832804657699256</v>
      </c>
    </row>
    <row r="27" spans="1:10" x14ac:dyDescent="0.4">
      <c r="A27" s="69" t="s">
        <v>287</v>
      </c>
      <c r="B27" s="79">
        <v>52612</v>
      </c>
      <c r="C27" s="82">
        <v>47185</v>
      </c>
      <c r="D27" s="79">
        <f>17268+115+2716+211+669+15189</f>
        <v>36168</v>
      </c>
      <c r="E27" s="357">
        <f>5195+3053+G27</f>
        <v>34136</v>
      </c>
      <c r="F27" s="357">
        <f>15542+5214</f>
        <v>20756</v>
      </c>
      <c r="G27" s="82">
        <f>6364+826+1139+8158+120+7283+1998</f>
        <v>25888</v>
      </c>
    </row>
    <row r="28" spans="1:10" x14ac:dyDescent="0.4">
      <c r="A28" s="69" t="s">
        <v>283</v>
      </c>
      <c r="B28" s="68">
        <f>10174+8900+64840+53300+107640+3061</f>
        <v>247915</v>
      </c>
      <c r="C28" s="70">
        <f>14875+26717+37861+7800+219032+3061</f>
        <v>309346</v>
      </c>
      <c r="D28" s="68">
        <f>36200+3600+2200+4790+12000+8700+4891+7200+232176</f>
        <v>311757</v>
      </c>
      <c r="E28" s="354">
        <f>211548+7200+39218+28748+3575+2230+4791+12054+8696</f>
        <v>318060</v>
      </c>
      <c r="F28" s="354">
        <f>158661+7200+29515+18228+1806+5631+6967</f>
        <v>228008</v>
      </c>
      <c r="G28" s="70">
        <f>22800+158661+21086+33002+7200</f>
        <v>242749</v>
      </c>
    </row>
    <row r="29" spans="1:10" x14ac:dyDescent="0.4">
      <c r="A29" s="69" t="s">
        <v>288</v>
      </c>
      <c r="B29" s="80">
        <f>B28/B27</f>
        <v>4.7121379153044929</v>
      </c>
      <c r="C29" s="80">
        <f t="shared" ref="C29:F29" si="3">C28/C27</f>
        <v>6.5560241602204092</v>
      </c>
      <c r="D29" s="80">
        <f t="shared" si="3"/>
        <v>8.619691439946914</v>
      </c>
      <c r="E29" s="80">
        <f t="shared" si="3"/>
        <v>9.3174361378017334</v>
      </c>
      <c r="F29" s="80">
        <f t="shared" si="3"/>
        <v>10.985160917325111</v>
      </c>
      <c r="G29" s="83">
        <f>G28/G27</f>
        <v>9.376892768850432</v>
      </c>
    </row>
    <row r="30" spans="1:10" x14ac:dyDescent="0.4">
      <c r="A30" s="69" t="s">
        <v>289</v>
      </c>
      <c r="B30" s="80">
        <f>B29+B26</f>
        <v>60.3486855102623</v>
      </c>
      <c r="C30" s="80">
        <f t="shared" ref="C30:F30" si="4">C29+C26</f>
        <v>59.970594262019681</v>
      </c>
      <c r="D30" s="80">
        <f t="shared" si="4"/>
        <v>62.22667399775613</v>
      </c>
      <c r="E30" s="80">
        <f t="shared" si="4"/>
        <v>63.057218558372881</v>
      </c>
      <c r="F30" s="80">
        <f t="shared" si="4"/>
        <v>64.84479453852191</v>
      </c>
      <c r="G30" s="83">
        <f t="shared" ref="G30" si="5">G29+G26</f>
        <v>67.209697426549695</v>
      </c>
    </row>
    <row r="31" spans="1:10" ht="21.6" thickBot="1" x14ac:dyDescent="0.45">
      <c r="A31" s="75" t="s">
        <v>290</v>
      </c>
      <c r="B31" s="84">
        <f>B30*B20+B30</f>
        <v>74.315703807188726</v>
      </c>
      <c r="C31" s="84">
        <f t="shared" ref="C31:F31" si="6">C30*C20+C30</f>
        <v>73.880949003083174</v>
      </c>
      <c r="D31" s="84">
        <f t="shared" si="6"/>
        <v>77.738213598574717</v>
      </c>
      <c r="E31" s="84">
        <f t="shared" si="6"/>
        <v>78.825517230182015</v>
      </c>
      <c r="F31" s="84">
        <f t="shared" si="6"/>
        <v>78.811966485428883</v>
      </c>
      <c r="G31" s="85">
        <f>G30*G20+G30</f>
        <v>83.679341763487628</v>
      </c>
    </row>
    <row r="32" spans="1:10" x14ac:dyDescent="0.4">
      <c r="A32" s="400" t="s">
        <v>348</v>
      </c>
      <c r="B32" s="401"/>
      <c r="C32" s="401"/>
      <c r="D32" s="402"/>
      <c r="E32" s="403"/>
      <c r="F32" s="403"/>
      <c r="G32" s="404"/>
    </row>
    <row r="33" spans="1:7" x14ac:dyDescent="0.4">
      <c r="A33" s="69"/>
      <c r="B33" s="217">
        <v>2021</v>
      </c>
      <c r="C33" s="217">
        <v>2022</v>
      </c>
      <c r="D33" s="78">
        <v>2023</v>
      </c>
      <c r="E33" s="218">
        <v>2024</v>
      </c>
      <c r="F33" s="218">
        <v>2025</v>
      </c>
      <c r="G33" s="81">
        <v>2024</v>
      </c>
    </row>
    <row r="34" spans="1:7" x14ac:dyDescent="0.4">
      <c r="A34" s="69" t="s">
        <v>308</v>
      </c>
      <c r="B34" s="204"/>
      <c r="C34" s="204"/>
      <c r="D34" s="67"/>
      <c r="E34" s="360"/>
      <c r="F34" s="360"/>
      <c r="G34" s="86"/>
    </row>
    <row r="35" spans="1:7" x14ac:dyDescent="0.4">
      <c r="A35" s="69" t="s">
        <v>309</v>
      </c>
      <c r="B35" s="103"/>
      <c r="C35" s="104"/>
      <c r="D35" s="103">
        <v>1200</v>
      </c>
      <c r="E35" s="361">
        <v>1200</v>
      </c>
      <c r="F35" s="361">
        <v>1200</v>
      </c>
      <c r="G35" s="104">
        <v>1200</v>
      </c>
    </row>
    <row r="36" spans="1:7" x14ac:dyDescent="0.4">
      <c r="A36" s="69" t="s">
        <v>310</v>
      </c>
      <c r="B36" s="103">
        <v>500</v>
      </c>
      <c r="C36" s="104">
        <v>500</v>
      </c>
      <c r="D36" s="103">
        <v>600</v>
      </c>
      <c r="E36" s="361">
        <v>600</v>
      </c>
      <c r="F36" s="361">
        <v>600</v>
      </c>
      <c r="G36" s="104">
        <v>600</v>
      </c>
    </row>
    <row r="37" spans="1:7" x14ac:dyDescent="0.4">
      <c r="A37" s="69" t="s">
        <v>311</v>
      </c>
      <c r="B37" s="103">
        <v>800</v>
      </c>
      <c r="C37" s="104">
        <v>800</v>
      </c>
      <c r="D37" s="103">
        <v>1000</v>
      </c>
      <c r="E37" s="361">
        <v>1200</v>
      </c>
      <c r="F37" s="361">
        <v>1350</v>
      </c>
      <c r="G37" s="104">
        <v>1200</v>
      </c>
    </row>
    <row r="38" spans="1:7" x14ac:dyDescent="0.4">
      <c r="A38" s="69" t="s">
        <v>312</v>
      </c>
      <c r="B38" s="103">
        <v>200</v>
      </c>
      <c r="C38" s="104">
        <v>200</v>
      </c>
      <c r="D38" s="103">
        <v>200</v>
      </c>
      <c r="E38" s="361">
        <v>200</v>
      </c>
      <c r="F38" s="361">
        <v>250</v>
      </c>
      <c r="G38" s="104">
        <v>200</v>
      </c>
    </row>
    <row r="39" spans="1:7" x14ac:dyDescent="0.4">
      <c r="A39" s="69" t="s">
        <v>289</v>
      </c>
      <c r="B39" s="103">
        <f>SUM(B35:B38)</f>
        <v>1500</v>
      </c>
      <c r="C39" s="104">
        <f t="shared" ref="C39:G39" si="7">SUM(C35:C38)</f>
        <v>1500</v>
      </c>
      <c r="D39" s="103">
        <f>SUM(D35:D38)</f>
        <v>3000</v>
      </c>
      <c r="E39" s="103">
        <f t="shared" ref="E39:F39" si="8">SUM(E35:E38)</f>
        <v>3200</v>
      </c>
      <c r="F39" s="103">
        <f t="shared" si="8"/>
        <v>3400</v>
      </c>
      <c r="G39" s="104">
        <f t="shared" si="7"/>
        <v>3200</v>
      </c>
    </row>
    <row r="40" spans="1:7" ht="21.6" thickBot="1" x14ac:dyDescent="0.45">
      <c r="A40" s="75" t="s">
        <v>313</v>
      </c>
      <c r="B40" s="108">
        <f>B39*B20+B39</f>
        <v>1847.1579748299075</v>
      </c>
      <c r="C40" s="109">
        <f>C39*C20+C39</f>
        <v>1847.9293871998482</v>
      </c>
      <c r="D40" s="108">
        <f>D39*D20+D39</f>
        <v>3747.8242980515688</v>
      </c>
      <c r="E40" s="108">
        <f t="shared" ref="E40:F40" si="9">E39*E20+E39</f>
        <v>4000.2026873906448</v>
      </c>
      <c r="F40" s="108">
        <f t="shared" si="9"/>
        <v>4132.3391948026392</v>
      </c>
      <c r="G40" s="109">
        <f>G39*G20+G39</f>
        <v>3984.1556188494651</v>
      </c>
    </row>
    <row r="41" spans="1:7" x14ac:dyDescent="0.4">
      <c r="A41" s="400" t="s">
        <v>356</v>
      </c>
      <c r="B41" s="401"/>
      <c r="C41" s="401"/>
      <c r="D41" s="402"/>
      <c r="E41" s="403"/>
      <c r="F41" s="403"/>
      <c r="G41" s="404"/>
    </row>
    <row r="42" spans="1:7" x14ac:dyDescent="0.4">
      <c r="A42" s="69"/>
      <c r="B42" s="217">
        <v>2021</v>
      </c>
      <c r="C42" s="217">
        <v>2022</v>
      </c>
      <c r="D42" s="78">
        <v>2023</v>
      </c>
      <c r="E42" s="218">
        <v>2024</v>
      </c>
      <c r="F42" s="218" t="s">
        <v>469</v>
      </c>
      <c r="G42" s="81" t="s">
        <v>276</v>
      </c>
    </row>
    <row r="43" spans="1:7" x14ac:dyDescent="0.4">
      <c r="A43" s="413" t="s">
        <v>299</v>
      </c>
      <c r="B43" s="95">
        <f>1088+110+13</f>
        <v>1211</v>
      </c>
      <c r="C43" s="95">
        <f>874+104+14</f>
        <v>992</v>
      </c>
      <c r="D43" s="95">
        <v>735</v>
      </c>
      <c r="E43" s="363">
        <f>198.47+G43</f>
        <v>884.47</v>
      </c>
      <c r="F43" s="363">
        <v>561.17499999999995</v>
      </c>
      <c r="G43" s="96">
        <v>686</v>
      </c>
    </row>
    <row r="44" spans="1:7" x14ac:dyDescent="0.4">
      <c r="A44" s="414"/>
      <c r="B44" s="68">
        <f t="shared" ref="B44:C44" si="10">B151*B43</f>
        <v>620487.32131781569</v>
      </c>
      <c r="C44" s="68">
        <f t="shared" si="10"/>
        <v>538476.27380399778</v>
      </c>
      <c r="D44" s="68">
        <f>D151*D43</f>
        <v>456247.72915593704</v>
      </c>
      <c r="E44" s="68">
        <f t="shared" ref="E44:F44" si="11">E151*E43</f>
        <v>781923.9437957987</v>
      </c>
      <c r="F44" s="68">
        <f t="shared" si="11"/>
        <v>466283.49458034057</v>
      </c>
      <c r="G44" s="70">
        <f>G151*G43</f>
        <v>684067.64617751457</v>
      </c>
    </row>
    <row r="45" spans="1:7" x14ac:dyDescent="0.4">
      <c r="A45" s="413" t="s">
        <v>443</v>
      </c>
      <c r="B45" s="95">
        <v>12</v>
      </c>
      <c r="C45" s="95">
        <v>13</v>
      </c>
      <c r="D45" s="95">
        <v>156</v>
      </c>
      <c r="E45" s="363">
        <f>60.82+G45+2.93</f>
        <v>265.75</v>
      </c>
      <c r="F45" s="363">
        <v>230.34299999999999</v>
      </c>
      <c r="G45" s="96">
        <v>202</v>
      </c>
    </row>
    <row r="46" spans="1:7" x14ac:dyDescent="0.4">
      <c r="A46" s="414"/>
      <c r="B46" s="68">
        <f t="shared" ref="B46:C46" si="12">B45*B40</f>
        <v>22165.895697958891</v>
      </c>
      <c r="C46" s="68">
        <f t="shared" si="12"/>
        <v>24023.082033598028</v>
      </c>
      <c r="D46" s="68">
        <f>D45*D40</f>
        <v>584660.59049604472</v>
      </c>
      <c r="E46" s="68">
        <f t="shared" ref="E46:F46" si="13">E45*E40</f>
        <v>1063053.8641740638</v>
      </c>
      <c r="F46" s="68">
        <f t="shared" si="13"/>
        <v>951855.4071484243</v>
      </c>
      <c r="G46" s="70">
        <f>G45*G40</f>
        <v>804799.43500759196</v>
      </c>
    </row>
    <row r="47" spans="1:7" x14ac:dyDescent="0.4">
      <c r="A47" s="413" t="s">
        <v>318</v>
      </c>
      <c r="B47" s="95">
        <v>204</v>
      </c>
      <c r="C47" s="95">
        <v>149</v>
      </c>
      <c r="D47" s="95">
        <v>109</v>
      </c>
      <c r="E47" s="363">
        <f>46.41+G47+7.75</f>
        <v>179.16</v>
      </c>
      <c r="F47" s="363">
        <v>175.69900000000001</v>
      </c>
      <c r="G47" s="96">
        <v>125</v>
      </c>
    </row>
    <row r="48" spans="1:7" x14ac:dyDescent="0.4">
      <c r="A48" s="414"/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70">
        <v>0</v>
      </c>
    </row>
    <row r="49" spans="1:8" x14ac:dyDescent="0.4">
      <c r="A49" s="69" t="s">
        <v>320</v>
      </c>
      <c r="B49" s="68">
        <f t="shared" ref="B49:C49" si="14">B48+B46+B44</f>
        <v>642653.21701577457</v>
      </c>
      <c r="C49" s="68">
        <f t="shared" si="14"/>
        <v>562499.35583759577</v>
      </c>
      <c r="D49" s="68">
        <f>D48+D46+D44</f>
        <v>1040908.3196519818</v>
      </c>
      <c r="E49" s="68">
        <f t="shared" ref="E49:F49" si="15">E48+E46+E44</f>
        <v>1844977.8079698626</v>
      </c>
      <c r="F49" s="68">
        <f t="shared" si="15"/>
        <v>1418138.9017287649</v>
      </c>
      <c r="G49" s="70">
        <f t="shared" ref="G49" si="16">G48+G46+G44</f>
        <v>1488867.0811851067</v>
      </c>
    </row>
    <row r="50" spans="1:8" x14ac:dyDescent="0.4">
      <c r="A50" s="69" t="s">
        <v>295</v>
      </c>
      <c r="B50" s="68">
        <v>1128179</v>
      </c>
      <c r="C50" s="68">
        <v>1095635</v>
      </c>
      <c r="D50" s="68">
        <v>1317389</v>
      </c>
      <c r="E50" s="354">
        <f>302841.61+151954.27+10221.68+G50</f>
        <v>1936256.56</v>
      </c>
      <c r="F50" s="354">
        <v>2204947.15</v>
      </c>
      <c r="G50" s="70">
        <v>1471239</v>
      </c>
    </row>
    <row r="51" spans="1:8" ht="21.6" thickBot="1" x14ac:dyDescent="0.45">
      <c r="A51" s="71" t="s">
        <v>87</v>
      </c>
      <c r="B51" s="114">
        <f t="shared" ref="B51:C51" si="17">B50-B49</f>
        <v>485525.78298422543</v>
      </c>
      <c r="C51" s="114">
        <f t="shared" si="17"/>
        <v>533135.64416240423</v>
      </c>
      <c r="D51" s="114">
        <f>D50-D49</f>
        <v>276480.68034801818</v>
      </c>
      <c r="E51" s="114">
        <f t="shared" ref="E51:F51" si="18">E50-E49</f>
        <v>91278.752030137461</v>
      </c>
      <c r="F51" s="114">
        <f t="shared" si="18"/>
        <v>786808.24827123503</v>
      </c>
      <c r="G51" s="150">
        <f t="shared" ref="G51" si="19">G50-G49</f>
        <v>-17628.081185106654</v>
      </c>
    </row>
    <row r="52" spans="1:8" x14ac:dyDescent="0.4">
      <c r="A52" s="400" t="s">
        <v>384</v>
      </c>
      <c r="B52" s="401"/>
      <c r="C52" s="401"/>
      <c r="D52" s="402"/>
      <c r="E52" s="403"/>
      <c r="F52" s="403"/>
      <c r="G52" s="404"/>
    </row>
    <row r="53" spans="1:8" x14ac:dyDescent="0.4">
      <c r="A53" s="69"/>
      <c r="B53" s="217">
        <v>2021</v>
      </c>
      <c r="C53" s="217">
        <v>2022</v>
      </c>
      <c r="D53" s="78">
        <v>2023</v>
      </c>
      <c r="E53" s="218">
        <v>2024</v>
      </c>
      <c r="F53" s="218" t="s">
        <v>468</v>
      </c>
      <c r="G53" s="81" t="s">
        <v>276</v>
      </c>
      <c r="H53" s="65"/>
    </row>
    <row r="54" spans="1:8" x14ac:dyDescent="0.4">
      <c r="A54" s="413" t="s">
        <v>299</v>
      </c>
      <c r="B54" s="95">
        <f t="shared" ref="B54:C54" si="20">B208</f>
        <v>660</v>
      </c>
      <c r="C54" s="95">
        <f t="shared" si="20"/>
        <v>567</v>
      </c>
      <c r="D54" s="95">
        <f>D208</f>
        <v>250</v>
      </c>
      <c r="E54" s="95">
        <f t="shared" ref="E54:F54" si="21">E208</f>
        <v>342.68</v>
      </c>
      <c r="F54" s="95">
        <f t="shared" si="21"/>
        <v>181.5</v>
      </c>
      <c r="G54" s="95">
        <f>G208</f>
        <v>259</v>
      </c>
      <c r="H54" s="64"/>
    </row>
    <row r="55" spans="1:8" x14ac:dyDescent="0.4">
      <c r="A55" s="414"/>
      <c r="B55" s="68">
        <f t="shared" ref="B55:C55" si="22">B151*B54</f>
        <v>338168.15199814894</v>
      </c>
      <c r="C55" s="68">
        <f t="shared" si="22"/>
        <v>307778.27343434148</v>
      </c>
      <c r="D55" s="68">
        <f>D151*D54</f>
        <v>155186.30243399218</v>
      </c>
      <c r="E55" s="68">
        <f t="shared" ref="E55:F55" si="23">E151*E54</f>
        <v>302949.44662899169</v>
      </c>
      <c r="F55" s="68">
        <f t="shared" si="23"/>
        <v>150809.38079267932</v>
      </c>
      <c r="G55" s="68">
        <f>G151*G54</f>
        <v>258270.43784253098</v>
      </c>
    </row>
    <row r="56" spans="1:8" x14ac:dyDescent="0.4">
      <c r="A56" s="413" t="s">
        <v>309</v>
      </c>
      <c r="B56" s="95">
        <f t="shared" ref="B56:C56" si="24">B209</f>
        <v>0</v>
      </c>
      <c r="C56" s="95">
        <f t="shared" si="24"/>
        <v>0</v>
      </c>
      <c r="D56" s="95">
        <f>D209</f>
        <v>170</v>
      </c>
      <c r="E56" s="95">
        <f t="shared" ref="E56:F56" si="25">E209</f>
        <v>227.82300000000001</v>
      </c>
      <c r="F56" s="95">
        <f t="shared" si="25"/>
        <v>192.69800000000001</v>
      </c>
      <c r="G56" s="95">
        <f>G209</f>
        <v>173</v>
      </c>
    </row>
    <row r="57" spans="1:8" x14ac:dyDescent="0.4">
      <c r="A57" s="414"/>
      <c r="B57" s="68">
        <f t="shared" ref="B57:C57" si="26">B56*B40</f>
        <v>0</v>
      </c>
      <c r="C57" s="68">
        <f t="shared" si="26"/>
        <v>0</v>
      </c>
      <c r="D57" s="68">
        <f>D56*D40</f>
        <v>637130.13066876668</v>
      </c>
      <c r="E57" s="68">
        <f t="shared" ref="E57:F57" si="27">E56*E40</f>
        <v>911338.17684939888</v>
      </c>
      <c r="F57" s="68">
        <f t="shared" si="27"/>
        <v>796293.49816007901</v>
      </c>
      <c r="G57" s="68">
        <f>G56*G40</f>
        <v>689258.92206095741</v>
      </c>
    </row>
    <row r="58" spans="1:8" x14ac:dyDescent="0.4">
      <c r="A58" s="413" t="s">
        <v>318</v>
      </c>
      <c r="B58" s="95">
        <f t="shared" ref="B58:C58" si="28">B210</f>
        <v>148</v>
      </c>
      <c r="C58" s="95">
        <f t="shared" si="28"/>
        <v>70</v>
      </c>
      <c r="D58" s="95">
        <f>D210</f>
        <v>60</v>
      </c>
      <c r="E58" s="95">
        <f t="shared" ref="E58:F58" si="29">E210</f>
        <v>63.71</v>
      </c>
      <c r="F58" s="95">
        <f t="shared" si="29"/>
        <v>41.91</v>
      </c>
      <c r="G58" s="95">
        <f>G210</f>
        <v>57</v>
      </c>
    </row>
    <row r="59" spans="1:8" x14ac:dyDescent="0.4">
      <c r="A59" s="414"/>
      <c r="B59" s="68">
        <v>0</v>
      </c>
      <c r="C59" s="68">
        <v>0</v>
      </c>
      <c r="D59" s="68">
        <v>0</v>
      </c>
      <c r="E59" s="68">
        <v>0</v>
      </c>
      <c r="F59" s="68">
        <v>0</v>
      </c>
      <c r="G59" s="70">
        <v>0</v>
      </c>
    </row>
    <row r="60" spans="1:8" x14ac:dyDescent="0.4">
      <c r="A60" s="69" t="s">
        <v>320</v>
      </c>
      <c r="B60" s="68">
        <f t="shared" ref="B60:C60" si="30">B59+B57+B55</f>
        <v>338168.15199814894</v>
      </c>
      <c r="C60" s="68">
        <f t="shared" si="30"/>
        <v>307778.27343434148</v>
      </c>
      <c r="D60" s="68">
        <f>D59+D57+D55</f>
        <v>792316.43310275883</v>
      </c>
      <c r="E60" s="68">
        <f t="shared" ref="E60:F60" si="31">E59+E57+E55</f>
        <v>1214287.6234783905</v>
      </c>
      <c r="F60" s="68">
        <f t="shared" si="31"/>
        <v>947102.87895275839</v>
      </c>
      <c r="G60" s="70">
        <f t="shared" ref="G60" si="32">G59+G57+G55</f>
        <v>947529.35990348842</v>
      </c>
    </row>
    <row r="61" spans="1:8" x14ac:dyDescent="0.4">
      <c r="A61" s="69" t="s">
        <v>295</v>
      </c>
      <c r="B61" s="68">
        <f t="shared" ref="B61:C61" si="33">B207</f>
        <v>424103</v>
      </c>
      <c r="C61" s="68">
        <f t="shared" si="33"/>
        <v>395503</v>
      </c>
      <c r="D61" s="68">
        <f>D207</f>
        <v>493624.57</v>
      </c>
      <c r="E61" s="68">
        <f t="shared" ref="E61:F61" si="34">E207</f>
        <v>812294.4</v>
      </c>
      <c r="F61" s="68">
        <f t="shared" si="34"/>
        <v>894946.3</v>
      </c>
      <c r="G61" s="68">
        <f>G207</f>
        <v>615562</v>
      </c>
    </row>
    <row r="62" spans="1:8" ht="21.6" thickBot="1" x14ac:dyDescent="0.45">
      <c r="A62" s="71" t="s">
        <v>87</v>
      </c>
      <c r="B62" s="114">
        <f t="shared" ref="B62:C62" si="35">B61-B60</f>
        <v>85934.84800185106</v>
      </c>
      <c r="C62" s="114">
        <f t="shared" si="35"/>
        <v>87724.726565658522</v>
      </c>
      <c r="D62" s="114">
        <f>D61-D60</f>
        <v>-298691.86310275883</v>
      </c>
      <c r="E62" s="114">
        <f t="shared" ref="E62:F62" si="36">E61-E60</f>
        <v>-401993.22347839049</v>
      </c>
      <c r="F62" s="114">
        <f t="shared" si="36"/>
        <v>-52156.57895275834</v>
      </c>
      <c r="G62" s="150">
        <f t="shared" ref="G62" si="37">G61-G60</f>
        <v>-331967.35990348842</v>
      </c>
    </row>
    <row r="64" spans="1:8" ht="21.6" thickBot="1" x14ac:dyDescent="0.45"/>
    <row r="65" spans="1:7" x14ac:dyDescent="0.4">
      <c r="A65" s="400" t="s">
        <v>380</v>
      </c>
      <c r="B65" s="401"/>
      <c r="C65" s="401"/>
      <c r="D65" s="402"/>
      <c r="E65" s="403"/>
      <c r="F65" s="403"/>
      <c r="G65" s="404"/>
    </row>
    <row r="66" spans="1:7" x14ac:dyDescent="0.4">
      <c r="A66" s="69"/>
      <c r="B66" s="217">
        <v>2021</v>
      </c>
      <c r="C66" s="217">
        <v>2022</v>
      </c>
      <c r="D66" s="78">
        <v>2023</v>
      </c>
      <c r="E66" s="218">
        <v>2024</v>
      </c>
      <c r="F66" s="218">
        <v>2025</v>
      </c>
      <c r="G66" s="81">
        <v>2024</v>
      </c>
    </row>
    <row r="67" spans="1:7" x14ac:dyDescent="0.4">
      <c r="A67" s="69" t="s">
        <v>361</v>
      </c>
      <c r="B67" s="95">
        <v>2014</v>
      </c>
      <c r="C67" s="95">
        <v>1440</v>
      </c>
      <c r="D67" s="95">
        <v>1603</v>
      </c>
      <c r="E67" s="95">
        <f>G67</f>
        <v>1650</v>
      </c>
      <c r="F67" s="95">
        <v>1605</v>
      </c>
      <c r="G67" s="96">
        <v>1650</v>
      </c>
    </row>
    <row r="68" spans="1:7" x14ac:dyDescent="0.4">
      <c r="A68" s="69" t="s">
        <v>362</v>
      </c>
      <c r="B68" s="95">
        <f t="shared" ref="B68:C68" si="38">B67*B104</f>
        <v>705.30866555263788</v>
      </c>
      <c r="C68" s="95">
        <f t="shared" si="38"/>
        <v>505.53034947884731</v>
      </c>
      <c r="D68" s="95">
        <f>D67*D104</f>
        <v>558.33694465297208</v>
      </c>
      <c r="E68" s="95">
        <f t="shared" ref="E68:F68" si="39">E67*E104</f>
        <v>580.11038735020634</v>
      </c>
      <c r="F68" s="95">
        <f t="shared" si="39"/>
        <v>566.1231310030696</v>
      </c>
      <c r="G68" s="96">
        <f>G67*G104</f>
        <v>580.11038735020634</v>
      </c>
    </row>
    <row r="69" spans="1:7" x14ac:dyDescent="0.4">
      <c r="A69" s="69" t="s">
        <v>363</v>
      </c>
      <c r="B69" s="68">
        <f t="shared" ref="B69:C69" si="40">B68*B151</f>
        <v>361383.22427002428</v>
      </c>
      <c r="C69" s="68">
        <f t="shared" si="40"/>
        <v>274411.39000222023</v>
      </c>
      <c r="D69" s="68">
        <f>D68*D151</f>
        <v>346584.98381194909</v>
      </c>
      <c r="E69" s="68">
        <f t="shared" ref="E69:F69" si="41">E68*E151</f>
        <v>512851.99262132321</v>
      </c>
      <c r="F69" s="68">
        <f t="shared" si="41"/>
        <v>470394.92473270412</v>
      </c>
      <c r="G69" s="70">
        <f>G68*G151</f>
        <v>578476.30786848662</v>
      </c>
    </row>
    <row r="70" spans="1:7" x14ac:dyDescent="0.4">
      <c r="A70" s="69" t="s">
        <v>364</v>
      </c>
      <c r="B70" s="112">
        <f t="shared" ref="B70:C70" si="42">B31*B90</f>
        <v>200842.36151850849</v>
      </c>
      <c r="C70" s="112">
        <f t="shared" si="42"/>
        <v>145835.42792841565</v>
      </c>
      <c r="D70" s="112">
        <f>D31*D90</f>
        <v>171306.08825238218</v>
      </c>
      <c r="E70" s="112">
        <f t="shared" ref="E70:F70" si="43">E31*E90</f>
        <v>165550.77500772488</v>
      </c>
      <c r="F70" s="112">
        <f t="shared" si="43"/>
        <v>175303.7076660443</v>
      </c>
      <c r="G70" s="113">
        <f>G31*G90/9*12</f>
        <v>222687.60508006453</v>
      </c>
    </row>
    <row r="71" spans="1:7" x14ac:dyDescent="0.4">
      <c r="A71" s="69" t="s">
        <v>448</v>
      </c>
      <c r="B71" s="112">
        <v>5363870</v>
      </c>
      <c r="C71" s="112">
        <v>4613900</v>
      </c>
      <c r="D71" s="112">
        <v>5180670</v>
      </c>
      <c r="E71" s="112">
        <v>5180671</v>
      </c>
      <c r="F71" s="112">
        <v>5180672</v>
      </c>
      <c r="G71" s="113">
        <v>5553690</v>
      </c>
    </row>
    <row r="72" spans="1:7" x14ac:dyDescent="0.4">
      <c r="A72" s="69" t="s">
        <v>370</v>
      </c>
      <c r="B72" s="112">
        <f t="shared" ref="B72:C72" si="44">B71*B104</f>
        <v>1878442.8956791596</v>
      </c>
      <c r="C72" s="112">
        <f t="shared" si="44"/>
        <v>1619768.388514204</v>
      </c>
      <c r="D72" s="112">
        <f>D71*D104</f>
        <v>1804466.2876202825</v>
      </c>
      <c r="E72" s="112">
        <f t="shared" ref="E72:F72" si="45">E71*E104</f>
        <v>1821430.9457842307</v>
      </c>
      <c r="F72" s="112">
        <f t="shared" si="45"/>
        <v>1827350.9366603952</v>
      </c>
      <c r="G72" s="113">
        <f>G71*G104</f>
        <v>1952577.7315896773</v>
      </c>
    </row>
    <row r="73" spans="1:7" x14ac:dyDescent="0.4">
      <c r="A73" s="69" t="s">
        <v>110</v>
      </c>
      <c r="B73" s="112">
        <f t="shared" ref="B73:C73" si="46">B72*0.1</f>
        <v>187844.28956791596</v>
      </c>
      <c r="C73" s="112">
        <f t="shared" si="46"/>
        <v>161976.83885142041</v>
      </c>
      <c r="D73" s="112">
        <f>D72*0.1</f>
        <v>180446.62876202827</v>
      </c>
      <c r="E73" s="112">
        <f t="shared" ref="E73:F73" si="47">E72*0.1</f>
        <v>182143.09457842307</v>
      </c>
      <c r="F73" s="112">
        <f t="shared" si="47"/>
        <v>182735.09366603952</v>
      </c>
      <c r="G73" s="113">
        <f>G72*0.1</f>
        <v>195257.77315896773</v>
      </c>
    </row>
    <row r="74" spans="1:7" ht="21.6" thickBot="1" x14ac:dyDescent="0.45">
      <c r="A74" s="71" t="s">
        <v>412</v>
      </c>
      <c r="B74" s="114">
        <f t="shared" ref="B74:C74" si="48">B72-B69-B70-B73</f>
        <v>1128373.0203227107</v>
      </c>
      <c r="C74" s="114">
        <f t="shared" si="48"/>
        <v>1037544.7317321477</v>
      </c>
      <c r="D74" s="114">
        <f>D72-D69-D70-D73</f>
        <v>1106128.5867939231</v>
      </c>
      <c r="E74" s="114">
        <f t="shared" ref="E74:F74" si="49">E72-E69-E70-E73</f>
        <v>960885.08357675979</v>
      </c>
      <c r="F74" s="114">
        <f t="shared" si="49"/>
        <v>998917.21059560718</v>
      </c>
      <c r="G74" s="150">
        <f>G72-G69-G70-G73</f>
        <v>956156.0454821582</v>
      </c>
    </row>
    <row r="75" spans="1:7" ht="21.6" thickBot="1" x14ac:dyDescent="0.45">
      <c r="D75" s="118"/>
      <c r="E75" s="118"/>
      <c r="F75" s="118"/>
      <c r="G75" s="118"/>
    </row>
    <row r="76" spans="1:7" x14ac:dyDescent="0.4">
      <c r="A76" s="400" t="s">
        <v>373</v>
      </c>
      <c r="B76" s="401"/>
      <c r="C76" s="401"/>
      <c r="D76" s="402"/>
      <c r="E76" s="403"/>
      <c r="F76" s="403"/>
      <c r="G76" s="404"/>
    </row>
    <row r="77" spans="1:7" x14ac:dyDescent="0.4">
      <c r="A77" s="69"/>
      <c r="B77" s="217">
        <v>2021</v>
      </c>
      <c r="C77" s="217">
        <v>2022</v>
      </c>
      <c r="D77" s="78">
        <v>2023</v>
      </c>
      <c r="E77" s="218">
        <v>2024</v>
      </c>
      <c r="F77" s="218" t="s">
        <v>468</v>
      </c>
      <c r="G77" s="81" t="s">
        <v>276</v>
      </c>
    </row>
    <row r="78" spans="1:7" x14ac:dyDescent="0.4">
      <c r="A78" s="69" t="s">
        <v>279</v>
      </c>
      <c r="B78" s="95">
        <f t="shared" ref="B78:C78" si="50">B115+B118+B121</f>
        <v>1429</v>
      </c>
      <c r="C78" s="95">
        <f t="shared" si="50"/>
        <v>1153</v>
      </c>
      <c r="D78" s="95">
        <f>D115+D118+D121</f>
        <v>999.84899999999993</v>
      </c>
      <c r="E78" s="95">
        <f t="shared" ref="E78:F78" si="51">E115+E118+E121</f>
        <v>1306.6610000000001</v>
      </c>
      <c r="F78" s="95">
        <f t="shared" si="51"/>
        <v>843.72699999999986</v>
      </c>
      <c r="G78" s="95">
        <f>G115+G118+G121</f>
        <v>1012.923</v>
      </c>
    </row>
    <row r="79" spans="1:7" x14ac:dyDescent="0.4">
      <c r="A79" s="69" t="s">
        <v>447</v>
      </c>
      <c r="B79" s="95">
        <f>(B97+B100)*0.211</f>
        <v>4333.518</v>
      </c>
      <c r="C79" s="95">
        <f>(C97+C100)*0.189</f>
        <v>3895.857</v>
      </c>
      <c r="D79" s="95">
        <f>(D97+D100)*0.18</f>
        <v>3674.7</v>
      </c>
      <c r="E79" s="95">
        <f t="shared" ref="E79:F79" si="52">(E97+E100)*0.18</f>
        <v>3818.16</v>
      </c>
      <c r="F79" s="95">
        <f t="shared" si="52"/>
        <v>3847.14</v>
      </c>
      <c r="G79" s="96">
        <f>(G97+G100)*0.17/12*9</f>
        <v>2704.5300000000007</v>
      </c>
    </row>
    <row r="80" spans="1:7" x14ac:dyDescent="0.4">
      <c r="A80" s="69" t="s">
        <v>413</v>
      </c>
      <c r="B80" s="95">
        <f>B109*0.211</f>
        <v>2431.7750000000001</v>
      </c>
      <c r="C80" s="95">
        <f>C109*0.189</f>
        <v>2179.17</v>
      </c>
      <c r="D80" s="95">
        <f>D109*0.18</f>
        <v>2033.28</v>
      </c>
      <c r="E80" s="95">
        <f t="shared" ref="E80:F80" si="53">E109*0.18</f>
        <v>2139.84</v>
      </c>
      <c r="F80" s="95">
        <f t="shared" si="53"/>
        <v>2160.36</v>
      </c>
      <c r="G80" s="96">
        <f>G109*0.17/12*9</f>
        <v>1515.72</v>
      </c>
    </row>
    <row r="81" spans="1:8" x14ac:dyDescent="0.4">
      <c r="A81" s="69" t="s">
        <v>365</v>
      </c>
      <c r="B81" s="95">
        <f t="shared" ref="B81:C81" si="54">B68</f>
        <v>705.30866555263788</v>
      </c>
      <c r="C81" s="95">
        <f t="shared" si="54"/>
        <v>505.53034947884731</v>
      </c>
      <c r="D81" s="95">
        <f>D68</f>
        <v>558.33694465297208</v>
      </c>
      <c r="E81" s="95">
        <f t="shared" ref="E81:F81" si="55">E68</f>
        <v>580.11038735020634</v>
      </c>
      <c r="F81" s="95">
        <f t="shared" si="55"/>
        <v>566.1231310030696</v>
      </c>
      <c r="G81" s="96">
        <f>G68</f>
        <v>580.11038735020634</v>
      </c>
    </row>
    <row r="82" spans="1:8" x14ac:dyDescent="0.4">
      <c r="A82" s="69" t="s">
        <v>411</v>
      </c>
      <c r="B82" s="88">
        <f t="shared" ref="B82:C82" si="56">B81/(B79+B81)</f>
        <v>0.13997478229890303</v>
      </c>
      <c r="C82" s="88">
        <f t="shared" si="56"/>
        <v>0.11485704604906118</v>
      </c>
      <c r="D82" s="88">
        <f>D81/(D79+D81)</f>
        <v>0.13189985156124004</v>
      </c>
      <c r="E82" s="88">
        <f t="shared" ref="E82:F82" si="57">E81/(E79+E81)</f>
        <v>0.13189511700295925</v>
      </c>
      <c r="F82" s="88">
        <f t="shared" si="57"/>
        <v>0.12827767440968293</v>
      </c>
      <c r="G82" s="90">
        <f>G81/(G79+G81)</f>
        <v>0.17661305925127299</v>
      </c>
    </row>
    <row r="83" spans="1:8" x14ac:dyDescent="0.4">
      <c r="A83" s="119" t="s">
        <v>414</v>
      </c>
      <c r="B83" s="145">
        <f t="shared" ref="B83:C83" si="58">B80/(B79+B81)</f>
        <v>0.48260739283304815</v>
      </c>
      <c r="C83" s="145">
        <f t="shared" si="58"/>
        <v>0.49510979765460261</v>
      </c>
      <c r="D83" s="145">
        <f>D80/(D79+D81)</f>
        <v>0.48033599200412602</v>
      </c>
      <c r="E83" s="145">
        <f t="shared" ref="E83:F83" si="59">E80/(E79+E81)</f>
        <v>0.4865185201333595</v>
      </c>
      <c r="F83" s="145">
        <f t="shared" si="59"/>
        <v>0.48951533952814236</v>
      </c>
      <c r="G83" s="145">
        <f>G80/(G79+G81)</f>
        <v>0.46145690890160596</v>
      </c>
    </row>
    <row r="84" spans="1:8" x14ac:dyDescent="0.4">
      <c r="A84" s="119" t="s">
        <v>416</v>
      </c>
      <c r="B84" s="145">
        <f t="shared" ref="B84:C84" si="60">(B79-B80)/(B79+B81)</f>
        <v>0.37741782486804887</v>
      </c>
      <c r="C84" s="145">
        <f t="shared" si="60"/>
        <v>0.39003315629633611</v>
      </c>
      <c r="D84" s="145">
        <f>(D79-D80)/(D79+D81)</f>
        <v>0.38776415643463391</v>
      </c>
      <c r="E84" s="145">
        <f t="shared" ref="E84:F84" si="61">(E79-E80)/(E79+E81)</f>
        <v>0.38158636286368131</v>
      </c>
      <c r="F84" s="145">
        <f t="shared" si="61"/>
        <v>0.38220698606217474</v>
      </c>
      <c r="G84" s="145">
        <f>(G79-G80)/(G79+G81)</f>
        <v>0.36193003184712114</v>
      </c>
    </row>
    <row r="85" spans="1:8" ht="21.6" thickBot="1" x14ac:dyDescent="0.45">
      <c r="A85" s="75" t="s">
        <v>369</v>
      </c>
      <c r="B85" s="91">
        <f t="shared" ref="B85:C85" si="62">B79/SUM(B78:B79,B81)</f>
        <v>0.67001146197688444</v>
      </c>
      <c r="C85" s="91">
        <f t="shared" si="62"/>
        <v>0.70140174872131256</v>
      </c>
      <c r="D85" s="91">
        <f>D79/SUM(D78:D79,D81)</f>
        <v>0.70223200713075995</v>
      </c>
      <c r="E85" s="91">
        <f t="shared" ref="E85:F85" si="63">E79/SUM(E78:E79,E81)</f>
        <v>0.66927360572051275</v>
      </c>
      <c r="F85" s="91">
        <f t="shared" si="63"/>
        <v>0.73181419483965038</v>
      </c>
      <c r="G85" s="91">
        <f>G79/SUM(G78:G79,G81)</f>
        <v>0.62931707021721461</v>
      </c>
      <c r="H85" s="66"/>
    </row>
    <row r="86" spans="1:8" x14ac:dyDescent="0.4">
      <c r="A86" s="416" t="s">
        <v>336</v>
      </c>
      <c r="B86" s="417"/>
      <c r="C86" s="417"/>
      <c r="D86" s="418"/>
      <c r="E86" s="419"/>
      <c r="F86" s="419"/>
      <c r="G86" s="420"/>
      <c r="H86" s="66"/>
    </row>
    <row r="87" spans="1:8" x14ac:dyDescent="0.4">
      <c r="A87" s="69"/>
      <c r="B87" s="217">
        <v>2021</v>
      </c>
      <c r="C87" s="217">
        <v>2022</v>
      </c>
      <c r="D87" s="78">
        <v>2023</v>
      </c>
      <c r="E87" s="218"/>
      <c r="F87" s="218"/>
      <c r="G87" s="81" t="s">
        <v>276</v>
      </c>
      <c r="H87" s="66"/>
    </row>
    <row r="88" spans="1:8" x14ac:dyDescent="0.4">
      <c r="A88" s="69" t="s">
        <v>371</v>
      </c>
      <c r="B88" s="79">
        <v>24783</v>
      </c>
      <c r="C88" s="79">
        <v>21688</v>
      </c>
      <c r="D88" s="79">
        <v>20653</v>
      </c>
      <c r="E88" s="79">
        <v>20654</v>
      </c>
      <c r="F88" s="79">
        <v>20655</v>
      </c>
      <c r="G88" s="82">
        <v>14786</v>
      </c>
      <c r="H88" s="66"/>
    </row>
    <row r="89" spans="1:8" x14ac:dyDescent="0.4">
      <c r="A89" s="69" t="s">
        <v>372</v>
      </c>
      <c r="B89" s="79">
        <f>B88*B85</f>
        <v>16604.894062173127</v>
      </c>
      <c r="C89" s="79">
        <f t="shared" ref="C89" si="64">C88*C85</f>
        <v>15212.001126267827</v>
      </c>
      <c r="D89" s="79">
        <f>D88*D85</f>
        <v>14503.197643271586</v>
      </c>
      <c r="E89" s="79">
        <f t="shared" ref="E89:F89" si="65">E88*E85</f>
        <v>13823.177052551471</v>
      </c>
      <c r="F89" s="79">
        <f t="shared" si="65"/>
        <v>15115.622194412979</v>
      </c>
      <c r="G89" s="82">
        <f>G88*G85</f>
        <v>9305.0822002317345</v>
      </c>
      <c r="H89" s="66"/>
    </row>
    <row r="90" spans="1:8" x14ac:dyDescent="0.4">
      <c r="A90" s="119" t="s">
        <v>368</v>
      </c>
      <c r="B90" s="143">
        <f t="shared" ref="B90:C90" si="66">B88*B91</f>
        <v>2702.5561386001509</v>
      </c>
      <c r="C90" s="143">
        <f t="shared" si="66"/>
        <v>1973.9246706526428</v>
      </c>
      <c r="D90" s="143">
        <f>D88*D91</f>
        <v>2203.6277954234206</v>
      </c>
      <c r="E90" s="143">
        <f t="shared" ref="E90:F90" si="67">E88*E91</f>
        <v>2100.218061675288</v>
      </c>
      <c r="F90" s="143">
        <f t="shared" si="67"/>
        <v>2224.3285567358002</v>
      </c>
      <c r="G90" s="144">
        <f>G88*G91</f>
        <v>1995.9012617726337</v>
      </c>
    </row>
    <row r="91" spans="1:8" x14ac:dyDescent="0.4">
      <c r="A91" s="119" t="s">
        <v>449</v>
      </c>
      <c r="B91" s="145">
        <f>SUM(B81)/SUM(B78:B79,B81)</f>
        <v>0.10904878903281083</v>
      </c>
      <c r="C91" s="145">
        <f t="shared" ref="C91:G91" si="68">SUM(C81)/SUM(C78:C79,C81)</f>
        <v>9.1014601192025216E-2</v>
      </c>
      <c r="D91" s="145">
        <f t="shared" si="68"/>
        <v>0.10669770955422556</v>
      </c>
      <c r="E91" s="145">
        <f t="shared" ref="E91:F91" si="69">SUM(E81)/SUM(E78:E79,E81)</f>
        <v>0.10168577813863117</v>
      </c>
      <c r="F91" s="145">
        <f t="shared" si="69"/>
        <v>0.10768959364491891</v>
      </c>
      <c r="G91" s="145">
        <f t="shared" si="68"/>
        <v>0.1349858827115267</v>
      </c>
    </row>
    <row r="92" spans="1:8" ht="21.6" thickBot="1" x14ac:dyDescent="0.45">
      <c r="A92" s="71" t="s">
        <v>330</v>
      </c>
      <c r="B92" s="93">
        <f t="shared" ref="B92:C92" si="70">B88-B89-B90</f>
        <v>5475.5497992267219</v>
      </c>
      <c r="C92" s="93">
        <f t="shared" si="70"/>
        <v>4502.07420307953</v>
      </c>
      <c r="D92" s="93">
        <f>D88-D89-D90</f>
        <v>3946.1745613049939</v>
      </c>
      <c r="E92" s="93">
        <f t="shared" ref="E92:F92" si="71">E88-E89-E90</f>
        <v>4730.6048857732403</v>
      </c>
      <c r="F92" s="93">
        <f t="shared" si="71"/>
        <v>3315.0492488512205</v>
      </c>
      <c r="G92" s="94">
        <f>G88-G89-G90</f>
        <v>3485.0165379956316</v>
      </c>
    </row>
    <row r="93" spans="1:8" ht="21.6" thickBot="1" x14ac:dyDescent="0.45">
      <c r="A93" s="135"/>
      <c r="B93" s="205"/>
      <c r="C93" s="205"/>
      <c r="D93" s="138"/>
      <c r="E93" s="374"/>
      <c r="F93" s="374"/>
      <c r="G93" s="139"/>
    </row>
    <row r="94" spans="1:8" x14ac:dyDescent="0.4">
      <c r="A94" s="400" t="s">
        <v>335</v>
      </c>
      <c r="B94" s="401"/>
      <c r="C94" s="401"/>
      <c r="D94" s="402"/>
      <c r="E94" s="403"/>
      <c r="F94" s="403"/>
      <c r="G94" s="404"/>
    </row>
    <row r="95" spans="1:8" x14ac:dyDescent="0.4">
      <c r="A95" s="69"/>
      <c r="B95" s="217">
        <v>2021</v>
      </c>
      <c r="C95" s="217">
        <v>2022</v>
      </c>
      <c r="D95" s="87">
        <v>2023</v>
      </c>
      <c r="E95" s="89">
        <v>2024</v>
      </c>
      <c r="F95" s="375">
        <v>2025</v>
      </c>
      <c r="G95" s="89">
        <v>2024</v>
      </c>
    </row>
    <row r="96" spans="1:8" x14ac:dyDescent="0.4">
      <c r="A96" s="429" t="s">
        <v>272</v>
      </c>
      <c r="B96" s="430">
        <v>52616</v>
      </c>
      <c r="C96" s="431">
        <v>52659</v>
      </c>
      <c r="D96" s="430">
        <v>52562</v>
      </c>
      <c r="E96" s="431">
        <v>54368</v>
      </c>
      <c r="F96" s="432">
        <v>54502</v>
      </c>
      <c r="G96" s="431">
        <v>54368</v>
      </c>
    </row>
    <row r="97" spans="1:7" x14ac:dyDescent="0.4">
      <c r="A97" s="429" t="s">
        <v>273</v>
      </c>
      <c r="B97" s="430">
        <v>18847</v>
      </c>
      <c r="C97" s="431">
        <v>18895</v>
      </c>
      <c r="D97" s="430">
        <v>18697</v>
      </c>
      <c r="E97" s="431">
        <v>19494</v>
      </c>
      <c r="F97" s="432">
        <v>19623</v>
      </c>
      <c r="G97" s="431">
        <v>19494</v>
      </c>
    </row>
    <row r="98" spans="1:7" x14ac:dyDescent="0.4">
      <c r="A98" s="429" t="s">
        <v>278</v>
      </c>
      <c r="B98" s="433">
        <f t="shared" ref="B98:G98" si="72">B97/B96</f>
        <v>0.35819902691196592</v>
      </c>
      <c r="C98" s="434">
        <f t="shared" si="72"/>
        <v>0.35881805579293186</v>
      </c>
      <c r="D98" s="433">
        <f t="shared" si="72"/>
        <v>0.35571325292036071</v>
      </c>
      <c r="E98" s="434">
        <f t="shared" si="72"/>
        <v>0.35855650382577986</v>
      </c>
      <c r="F98" s="434">
        <f t="shared" si="72"/>
        <v>0.36004183332721734</v>
      </c>
      <c r="G98" s="434">
        <f t="shared" si="72"/>
        <v>0.35855650382577986</v>
      </c>
    </row>
    <row r="99" spans="1:7" x14ac:dyDescent="0.4">
      <c r="A99" s="429" t="s">
        <v>334</v>
      </c>
      <c r="B99" s="435">
        <v>6030</v>
      </c>
      <c r="C99" s="436">
        <v>6057</v>
      </c>
      <c r="D99" s="435">
        <v>6050</v>
      </c>
      <c r="E99" s="436">
        <v>5965</v>
      </c>
      <c r="F99" s="437">
        <v>6092</v>
      </c>
      <c r="G99" s="436">
        <v>5965</v>
      </c>
    </row>
    <row r="100" spans="1:7" x14ac:dyDescent="0.4">
      <c r="A100" s="429" t="s">
        <v>273</v>
      </c>
      <c r="B100" s="435">
        <v>1691</v>
      </c>
      <c r="C100" s="436">
        <v>1718</v>
      </c>
      <c r="D100" s="435">
        <v>1718</v>
      </c>
      <c r="E100" s="436">
        <v>1718</v>
      </c>
      <c r="F100" s="437">
        <v>1750</v>
      </c>
      <c r="G100" s="436">
        <v>1718</v>
      </c>
    </row>
    <row r="101" spans="1:7" x14ac:dyDescent="0.4">
      <c r="A101" s="429" t="s">
        <v>278</v>
      </c>
      <c r="B101" s="433">
        <f t="shared" ref="B101:G101" si="73">B100/B99</f>
        <v>0.2804311774461028</v>
      </c>
      <c r="C101" s="434">
        <f t="shared" si="73"/>
        <v>0.28363876506521379</v>
      </c>
      <c r="D101" s="433">
        <f t="shared" si="73"/>
        <v>0.28396694214876034</v>
      </c>
      <c r="E101" s="434">
        <f t="shared" si="73"/>
        <v>0.28801341156747695</v>
      </c>
      <c r="F101" s="434">
        <f t="shared" si="73"/>
        <v>0.28726198292843075</v>
      </c>
      <c r="G101" s="434">
        <f t="shared" si="73"/>
        <v>0.28801341156747695</v>
      </c>
    </row>
    <row r="102" spans="1:7" x14ac:dyDescent="0.4">
      <c r="A102" s="429" t="s">
        <v>344</v>
      </c>
      <c r="B102" s="438">
        <f t="shared" ref="B102:G103" si="74">B99+B96</f>
        <v>58646</v>
      </c>
      <c r="C102" s="439">
        <f t="shared" si="74"/>
        <v>58716</v>
      </c>
      <c r="D102" s="438">
        <f t="shared" si="74"/>
        <v>58612</v>
      </c>
      <c r="E102" s="439">
        <f t="shared" ref="E102:F102" si="75">E99+E96</f>
        <v>60333</v>
      </c>
      <c r="F102" s="439">
        <f t="shared" si="75"/>
        <v>60594</v>
      </c>
      <c r="G102" s="439">
        <f t="shared" si="74"/>
        <v>60333</v>
      </c>
    </row>
    <row r="103" spans="1:7" x14ac:dyDescent="0.4">
      <c r="A103" s="429" t="s">
        <v>345</v>
      </c>
      <c r="B103" s="438">
        <f t="shared" si="74"/>
        <v>20538</v>
      </c>
      <c r="C103" s="439">
        <f t="shared" si="74"/>
        <v>20613</v>
      </c>
      <c r="D103" s="438">
        <f t="shared" si="74"/>
        <v>20415</v>
      </c>
      <c r="E103" s="439">
        <f t="shared" ref="E103:F103" si="76">E100+E97</f>
        <v>21212</v>
      </c>
      <c r="F103" s="439">
        <f t="shared" si="76"/>
        <v>21373</v>
      </c>
      <c r="G103" s="439">
        <f t="shared" si="74"/>
        <v>21212</v>
      </c>
    </row>
    <row r="104" spans="1:7" ht="21.6" thickBot="1" x14ac:dyDescent="0.45">
      <c r="A104" s="440" t="s">
        <v>278</v>
      </c>
      <c r="B104" s="441">
        <f t="shared" ref="B104:G104" si="77">B103/B102</f>
        <v>0.35020291238959178</v>
      </c>
      <c r="C104" s="442">
        <f t="shared" si="77"/>
        <v>0.35106274269364396</v>
      </c>
      <c r="D104" s="441">
        <f t="shared" si="77"/>
        <v>0.3483075138196956</v>
      </c>
      <c r="E104" s="442">
        <f t="shared" si="77"/>
        <v>0.351582052939519</v>
      </c>
      <c r="F104" s="442">
        <f t="shared" si="77"/>
        <v>0.35272469221375052</v>
      </c>
      <c r="G104" s="442">
        <f t="shared" si="77"/>
        <v>0.351582052939519</v>
      </c>
    </row>
    <row r="105" spans="1:7" x14ac:dyDescent="0.4">
      <c r="A105" s="443" t="s">
        <v>359</v>
      </c>
      <c r="B105" s="444"/>
      <c r="C105" s="444"/>
      <c r="D105" s="445"/>
      <c r="E105" s="446"/>
      <c r="F105" s="446"/>
      <c r="G105" s="447"/>
    </row>
    <row r="106" spans="1:7" x14ac:dyDescent="0.4">
      <c r="A106" s="429"/>
      <c r="B106" s="448">
        <v>2021</v>
      </c>
      <c r="C106" s="448">
        <v>2022</v>
      </c>
      <c r="D106" s="449">
        <v>2023</v>
      </c>
      <c r="E106" s="450">
        <v>2024</v>
      </c>
      <c r="F106" s="451">
        <v>2025</v>
      </c>
      <c r="G106" s="450">
        <v>2024</v>
      </c>
    </row>
    <row r="107" spans="1:7" x14ac:dyDescent="0.4">
      <c r="A107" s="429" t="s">
        <v>353</v>
      </c>
      <c r="B107" s="452">
        <v>10970</v>
      </c>
      <c r="C107" s="452">
        <v>10975</v>
      </c>
      <c r="D107" s="438">
        <v>10741</v>
      </c>
      <c r="E107" s="439">
        <v>11333</v>
      </c>
      <c r="F107" s="453">
        <v>11447</v>
      </c>
      <c r="G107" s="439">
        <v>11333</v>
      </c>
    </row>
    <row r="108" spans="1:7" x14ac:dyDescent="0.4">
      <c r="A108" s="429" t="s">
        <v>354</v>
      </c>
      <c r="B108" s="452">
        <v>555</v>
      </c>
      <c r="C108" s="452">
        <v>555</v>
      </c>
      <c r="D108" s="438">
        <v>555</v>
      </c>
      <c r="E108" s="439">
        <v>555</v>
      </c>
      <c r="F108" s="453">
        <v>555</v>
      </c>
      <c r="G108" s="439">
        <v>555</v>
      </c>
    </row>
    <row r="109" spans="1:7" x14ac:dyDescent="0.4">
      <c r="A109" s="119" t="s">
        <v>355</v>
      </c>
      <c r="B109" s="121">
        <f t="shared" ref="B109:C109" si="78">SUM(B107:B108)</f>
        <v>11525</v>
      </c>
      <c r="C109" s="121">
        <f t="shared" si="78"/>
        <v>11530</v>
      </c>
      <c r="D109" s="121">
        <f>SUM(D107:D108)</f>
        <v>11296</v>
      </c>
      <c r="E109" s="121">
        <f>SUM(E107:E108)</f>
        <v>11888</v>
      </c>
      <c r="F109" s="121">
        <f>SUM(F107:F108)</f>
        <v>12002</v>
      </c>
      <c r="G109" s="121">
        <f>SUM(G107:G108)</f>
        <v>11888</v>
      </c>
    </row>
    <row r="110" spans="1:7" ht="21.6" thickBot="1" x14ac:dyDescent="0.45">
      <c r="A110" s="75" t="s">
        <v>278</v>
      </c>
      <c r="B110" s="91">
        <f t="shared" ref="B110:C110" si="79">B109/B103</f>
        <v>0.56115493232057645</v>
      </c>
      <c r="C110" s="91">
        <f t="shared" si="79"/>
        <v>0.55935574637364771</v>
      </c>
      <c r="D110" s="91">
        <f>D109/D103</f>
        <v>0.55331863825618421</v>
      </c>
      <c r="E110" s="92">
        <f>E109/E103</f>
        <v>0.56043748821421835</v>
      </c>
      <c r="F110" s="92">
        <f>F109/F103</f>
        <v>0.56154961867777098</v>
      </c>
      <c r="G110" s="92">
        <f>G109/G103</f>
        <v>0.56043748821421835</v>
      </c>
    </row>
    <row r="111" spans="1:7" x14ac:dyDescent="0.4">
      <c r="A111" s="400" t="s">
        <v>349</v>
      </c>
      <c r="B111" s="401"/>
      <c r="C111" s="401"/>
      <c r="D111" s="402"/>
      <c r="E111" s="403"/>
      <c r="F111" s="403"/>
      <c r="G111" s="404"/>
    </row>
    <row r="112" spans="1:7" x14ac:dyDescent="0.4">
      <c r="A112" s="69"/>
      <c r="B112" s="217">
        <v>2021</v>
      </c>
      <c r="C112" s="217">
        <v>2022</v>
      </c>
      <c r="D112" s="78">
        <v>2023</v>
      </c>
      <c r="E112" s="218">
        <v>2024</v>
      </c>
      <c r="F112" s="218" t="s">
        <v>468</v>
      </c>
      <c r="G112" s="81" t="s">
        <v>276</v>
      </c>
    </row>
    <row r="113" spans="1:7" x14ac:dyDescent="0.4">
      <c r="A113" s="69" t="s">
        <v>317</v>
      </c>
      <c r="B113" s="95">
        <f t="shared" ref="B113:C113" si="80">B78</f>
        <v>1429</v>
      </c>
      <c r="C113" s="95">
        <f t="shared" si="80"/>
        <v>1153</v>
      </c>
      <c r="D113" s="95">
        <f>D78</f>
        <v>999.84899999999993</v>
      </c>
      <c r="E113" s="95">
        <f t="shared" ref="E113:F113" si="81">E78</f>
        <v>1306.6610000000001</v>
      </c>
      <c r="F113" s="95">
        <f t="shared" si="81"/>
        <v>843.72699999999986</v>
      </c>
      <c r="G113" s="96">
        <f>G78</f>
        <v>1012.923</v>
      </c>
    </row>
    <row r="114" spans="1:7" x14ac:dyDescent="0.4">
      <c r="A114" s="97" t="s">
        <v>281</v>
      </c>
      <c r="B114" s="110">
        <f t="shared" ref="B114:C114" si="82">B115/(B121+B115+B118)</f>
        <v>0.56543037088873338</v>
      </c>
      <c r="C114" s="110">
        <f t="shared" si="82"/>
        <v>0.55247181266261924</v>
      </c>
      <c r="D114" s="110">
        <f>D115/(D121+D115+D118)</f>
        <v>0.48007249094613291</v>
      </c>
      <c r="E114" s="110">
        <f t="shared" ref="E114:F114" si="83">E115/(E121+E115+E118)</f>
        <v>0.48536919675416973</v>
      </c>
      <c r="F114" s="110">
        <f t="shared" si="83"/>
        <v>0.49317848071710396</v>
      </c>
      <c r="G114" s="111">
        <f t="shared" ref="G114" si="84">G115/(G121+G115+G118)</f>
        <v>0.48298340545135221</v>
      </c>
    </row>
    <row r="115" spans="1:7" x14ac:dyDescent="0.4">
      <c r="A115" s="69" t="s">
        <v>277</v>
      </c>
      <c r="B115" s="95">
        <f>B208+B209+B210</f>
        <v>808</v>
      </c>
      <c r="C115" s="95">
        <f>C208+C209+C210</f>
        <v>637</v>
      </c>
      <c r="D115" s="95">
        <f t="shared" ref="D115:F115" si="85">D208+D209+D210</f>
        <v>480</v>
      </c>
      <c r="E115" s="95">
        <f t="shared" si="85"/>
        <v>634.21300000000008</v>
      </c>
      <c r="F115" s="95">
        <f t="shared" si="85"/>
        <v>416.10799999999995</v>
      </c>
      <c r="G115" s="96">
        <f>376.95+112.275</f>
        <v>489.22500000000002</v>
      </c>
    </row>
    <row r="116" spans="1:7" x14ac:dyDescent="0.4">
      <c r="A116" s="69" t="s">
        <v>404</v>
      </c>
      <c r="B116" s="88">
        <f t="shared" ref="B116:C116" si="86">B118/B113</f>
        <v>0.10356892932120364</v>
      </c>
      <c r="C116" s="88">
        <f t="shared" si="86"/>
        <v>7.3720728534258456E-2</v>
      </c>
      <c r="D116" s="88">
        <f>D118/D113</f>
        <v>0.11836387294481468</v>
      </c>
      <c r="E116" s="88">
        <f t="shared" ref="E116:F116" si="87">E118/E113</f>
        <v>9.8366753121123238E-2</v>
      </c>
      <c r="F116" s="88">
        <f t="shared" si="87"/>
        <v>2.7710384994198364E-2</v>
      </c>
      <c r="G116" s="90">
        <f>G118/G113</f>
        <v>0.11559812542513102</v>
      </c>
    </row>
    <row r="117" spans="1:7" x14ac:dyDescent="0.4">
      <c r="A117" s="69"/>
      <c r="B117" s="88">
        <f t="shared" ref="B117:C117" si="88">B116/(B116+B119)</f>
        <v>0.23832528180354268</v>
      </c>
      <c r="C117" s="88">
        <f t="shared" si="88"/>
        <v>0.16472868217054262</v>
      </c>
      <c r="D117" s="88">
        <f>D116/(D116+D119)</f>
        <v>0.22765456892289876</v>
      </c>
      <c r="E117" s="88">
        <f t="shared" ref="E117:F117" si="89">E116/(E116+E119)</f>
        <v>0.19114043018939758</v>
      </c>
      <c r="F117" s="88">
        <f t="shared" si="89"/>
        <v>5.4674839050650237E-2</v>
      </c>
      <c r="G117" s="90">
        <f>G116/(G116+G119)</f>
        <v>0.2235868764058675</v>
      </c>
    </row>
    <row r="118" spans="1:7" x14ac:dyDescent="0.4">
      <c r="A118" s="69" t="s">
        <v>292</v>
      </c>
      <c r="B118" s="95">
        <v>148</v>
      </c>
      <c r="C118" s="95">
        <v>85</v>
      </c>
      <c r="D118" s="95">
        <f>80.13+18.436+11.13+8.65</f>
        <v>118.346</v>
      </c>
      <c r="E118" s="363">
        <f>11.44+G118</f>
        <v>128.53200000000001</v>
      </c>
      <c r="F118" s="363">
        <f>23.38</f>
        <v>23.38</v>
      </c>
      <c r="G118" s="96">
        <f>77.14+11.212+19.79+8.95</f>
        <v>117.092</v>
      </c>
    </row>
    <row r="119" spans="1:7" x14ac:dyDescent="0.4">
      <c r="A119" s="119" t="s">
        <v>405</v>
      </c>
      <c r="B119" s="145">
        <f t="shared" ref="B119:C119" si="90">B121/B113</f>
        <v>0.33100069979006297</v>
      </c>
      <c r="C119" s="145">
        <f t="shared" si="90"/>
        <v>0.37380745880312227</v>
      </c>
      <c r="D119" s="145">
        <f>D121/D113</f>
        <v>0.40156363610905249</v>
      </c>
      <c r="E119" s="145">
        <f t="shared" ref="E119:F119" si="91">E121/E113</f>
        <v>0.41626405012470713</v>
      </c>
      <c r="F119" s="145">
        <f t="shared" si="91"/>
        <v>0.47911113428869767</v>
      </c>
      <c r="G119" s="146">
        <f>G121/G113</f>
        <v>0.40141846912351681</v>
      </c>
    </row>
    <row r="120" spans="1:7" x14ac:dyDescent="0.4">
      <c r="A120" s="119"/>
      <c r="B120" s="145">
        <f t="shared" ref="B120:C120" si="92">B119/(B119+B116)</f>
        <v>0.76167471819645727</v>
      </c>
      <c r="C120" s="145">
        <f t="shared" si="92"/>
        <v>0.83527131782945729</v>
      </c>
      <c r="D120" s="145">
        <f>D119/(D119+D116)</f>
        <v>0.77234543107710119</v>
      </c>
      <c r="E120" s="145">
        <f t="shared" ref="E120:F120" si="93">E119/(E119+E116)</f>
        <v>0.80885956981060247</v>
      </c>
      <c r="F120" s="145">
        <f t="shared" si="93"/>
        <v>0.94532516094934982</v>
      </c>
      <c r="G120" s="146">
        <f>G119/(G119+G116)</f>
        <v>0.77641312359413261</v>
      </c>
    </row>
    <row r="121" spans="1:7" ht="21.6" thickBot="1" x14ac:dyDescent="0.45">
      <c r="A121" s="71" t="s">
        <v>293</v>
      </c>
      <c r="B121" s="174">
        <v>473</v>
      </c>
      <c r="C121" s="174">
        <v>431</v>
      </c>
      <c r="D121" s="174">
        <f>401.503</f>
        <v>401.50299999999999</v>
      </c>
      <c r="E121" s="392">
        <f>G121+137.31</f>
        <v>543.91599999999994</v>
      </c>
      <c r="F121" s="392">
        <v>404.23899999999998</v>
      </c>
      <c r="G121" s="175">
        <f>406.606</f>
        <v>406.60599999999999</v>
      </c>
    </row>
    <row r="122" spans="1:7" x14ac:dyDescent="0.4">
      <c r="D122" s="65"/>
      <c r="E122" s="65"/>
      <c r="F122" s="65"/>
      <c r="G122" s="65"/>
    </row>
    <row r="123" spans="1:7" ht="21.6" thickBot="1" x14ac:dyDescent="0.45">
      <c r="D123" s="65"/>
      <c r="E123" s="65"/>
      <c r="F123" s="65"/>
      <c r="G123" s="65"/>
    </row>
    <row r="124" spans="1:7" x14ac:dyDescent="0.4">
      <c r="A124" s="400" t="str">
        <f>A196</f>
        <v>Výpočet nákladů na provoz překladiště Humpolec pro svážené SKO</v>
      </c>
      <c r="B124" s="401"/>
      <c r="C124" s="401"/>
      <c r="D124" s="402"/>
      <c r="E124" s="403"/>
      <c r="F124" s="403"/>
      <c r="G124" s="404"/>
    </row>
    <row r="125" spans="1:7" x14ac:dyDescent="0.4">
      <c r="A125" s="69"/>
      <c r="B125" s="217">
        <v>2021</v>
      </c>
      <c r="C125" s="217">
        <v>2022</v>
      </c>
      <c r="D125" s="78">
        <f t="shared" ref="D125:G128" si="94">D197</f>
        <v>2023</v>
      </c>
      <c r="E125" s="218">
        <v>2024</v>
      </c>
      <c r="F125" s="390" t="s">
        <v>470</v>
      </c>
      <c r="G125" s="81" t="str">
        <f t="shared" si="94"/>
        <v>1.-9.2024</v>
      </c>
    </row>
    <row r="126" spans="1:7" x14ac:dyDescent="0.4">
      <c r="A126" s="69" t="str">
        <f>A198</f>
        <v>Kontejnery pro svoz 6 M + 2 V</v>
      </c>
      <c r="B126" s="68">
        <f t="shared" ref="B126:C126" si="95">B198</f>
        <v>132800</v>
      </c>
      <c r="C126" s="68">
        <f t="shared" si="95"/>
        <v>132800</v>
      </c>
      <c r="D126" s="68">
        <f t="shared" si="94"/>
        <v>132800</v>
      </c>
      <c r="E126" s="68">
        <f t="shared" ref="E126:F126" si="96">E198</f>
        <v>132800</v>
      </c>
      <c r="F126" s="68">
        <f t="shared" si="96"/>
        <v>99600</v>
      </c>
      <c r="G126" s="70">
        <f t="shared" si="94"/>
        <v>99600</v>
      </c>
    </row>
    <row r="127" spans="1:7" x14ac:dyDescent="0.4">
      <c r="A127" s="69" t="str">
        <f>A199</f>
        <v>Opravy kontejnerů -odhad</v>
      </c>
      <c r="B127" s="68">
        <f t="shared" ref="B127:C127" si="97">B199</f>
        <v>50000</v>
      </c>
      <c r="C127" s="68">
        <f t="shared" si="97"/>
        <v>50000</v>
      </c>
      <c r="D127" s="68">
        <f t="shared" si="94"/>
        <v>50000</v>
      </c>
      <c r="E127" s="68">
        <f t="shared" ref="E127:F127" si="98">E199</f>
        <v>50000</v>
      </c>
      <c r="F127" s="68">
        <f t="shared" si="98"/>
        <v>37500</v>
      </c>
      <c r="G127" s="70">
        <f t="shared" si="94"/>
        <v>37500</v>
      </c>
    </row>
    <row r="128" spans="1:7" x14ac:dyDescent="0.4">
      <c r="A128" s="69" t="s">
        <v>415</v>
      </c>
      <c r="B128" s="68">
        <f t="shared" ref="B128:C128" si="99">B200</f>
        <v>263994</v>
      </c>
      <c r="C128" s="68">
        <f t="shared" si="99"/>
        <v>196988</v>
      </c>
      <c r="D128" s="68">
        <f t="shared" si="94"/>
        <v>129982</v>
      </c>
      <c r="E128" s="68">
        <f t="shared" si="94"/>
        <v>162139.31999999998</v>
      </c>
      <c r="F128" s="68">
        <f t="shared" si="94"/>
        <v>65246.17</v>
      </c>
      <c r="G128" s="70">
        <f t="shared" si="94"/>
        <v>62976</v>
      </c>
    </row>
    <row r="129" spans="1:8" x14ac:dyDescent="0.4">
      <c r="A129" s="69" t="str">
        <f t="shared" ref="A129:G130" si="100">A201</f>
        <v>Náklad na odvoz SKO</v>
      </c>
      <c r="B129" s="68">
        <f t="shared" ref="B129:C129" si="101">B201</f>
        <v>1234004.3888742048</v>
      </c>
      <c r="C129" s="68">
        <f t="shared" si="101"/>
        <v>1123877.0794446371</v>
      </c>
      <c r="D129" s="68">
        <f t="shared" si="100"/>
        <v>1127452.6762549919</v>
      </c>
      <c r="E129" s="68">
        <f t="shared" ref="E129:F129" si="102">E201</f>
        <v>1089619.0809317527</v>
      </c>
      <c r="F129" s="68">
        <f t="shared" si="102"/>
        <v>1191291.9097924808</v>
      </c>
      <c r="G129" s="70">
        <f t="shared" si="100"/>
        <v>778643.15357053676</v>
      </c>
    </row>
    <row r="130" spans="1:8" ht="21.6" thickBot="1" x14ac:dyDescent="0.45">
      <c r="A130" s="100" t="str">
        <f t="shared" si="100"/>
        <v>Náklady na překladiště</v>
      </c>
      <c r="B130" s="101">
        <f t="shared" ref="B130:C130" si="103">B202</f>
        <v>1680798.3888742048</v>
      </c>
      <c r="C130" s="101">
        <f t="shared" si="103"/>
        <v>1503665.0794446371</v>
      </c>
      <c r="D130" s="101">
        <f t="shared" si="100"/>
        <v>1440234.6762549919</v>
      </c>
      <c r="E130" s="101">
        <f t="shared" ref="E130:F130" si="104">E202</f>
        <v>1434558.4009317528</v>
      </c>
      <c r="F130" s="101">
        <f t="shared" si="104"/>
        <v>1393638.0797924807</v>
      </c>
      <c r="G130" s="102">
        <f t="shared" si="100"/>
        <v>978719.15357053676</v>
      </c>
    </row>
    <row r="131" spans="1:8" x14ac:dyDescent="0.4">
      <c r="A131" s="400" t="s">
        <v>340</v>
      </c>
      <c r="B131" s="401"/>
      <c r="C131" s="401"/>
      <c r="D131" s="402"/>
      <c r="E131" s="403"/>
      <c r="F131" s="403"/>
      <c r="G131" s="404"/>
    </row>
    <row r="132" spans="1:8" x14ac:dyDescent="0.4">
      <c r="A132" s="69"/>
      <c r="B132" s="204"/>
      <c r="C132" s="204"/>
      <c r="D132" s="78">
        <v>2023</v>
      </c>
      <c r="E132" s="218">
        <v>2024</v>
      </c>
      <c r="F132" s="390" t="s">
        <v>470</v>
      </c>
      <c r="G132" s="81" t="s">
        <v>276</v>
      </c>
    </row>
    <row r="133" spans="1:8" x14ac:dyDescent="0.4">
      <c r="A133" s="69" t="s">
        <v>400</v>
      </c>
      <c r="B133" s="204"/>
      <c r="C133" s="204"/>
      <c r="D133" s="154">
        <f>D136*D82</f>
        <v>911691.77399129118</v>
      </c>
      <c r="E133" s="154">
        <f t="shared" ref="E133:F133" si="105">E136*E82</f>
        <v>1085331.889961103</v>
      </c>
      <c r="F133" s="154">
        <f t="shared" si="105"/>
        <v>839173.88800040283</v>
      </c>
      <c r="G133" s="172">
        <f>G136*G82/12*9</f>
        <v>720941.96976544964</v>
      </c>
    </row>
    <row r="134" spans="1:8" x14ac:dyDescent="0.4">
      <c r="A134" s="69" t="s">
        <v>394</v>
      </c>
      <c r="B134" s="204"/>
      <c r="C134" s="204"/>
      <c r="D134" s="151">
        <f>D74</f>
        <v>1106128.5867939231</v>
      </c>
      <c r="E134" s="151">
        <f t="shared" ref="E134:F134" si="106">E74</f>
        <v>960885.08357675979</v>
      </c>
      <c r="F134" s="151">
        <f t="shared" si="106"/>
        <v>998917.21059560718</v>
      </c>
      <c r="G134" s="173">
        <f>G74/12*9</f>
        <v>717117.03411161865</v>
      </c>
    </row>
    <row r="135" spans="1:8" x14ac:dyDescent="0.4">
      <c r="A135" s="69" t="s">
        <v>397</v>
      </c>
      <c r="B135" s="204"/>
      <c r="C135" s="204"/>
      <c r="D135" s="151">
        <f>(D134+D133)/2</f>
        <v>1008910.1803926071</v>
      </c>
      <c r="E135" s="151">
        <f t="shared" ref="E135:F135" si="107">(E134+E133)/2</f>
        <v>1023108.4867689314</v>
      </c>
      <c r="F135" s="151">
        <f t="shared" si="107"/>
        <v>919045.54929800495</v>
      </c>
      <c r="G135" s="151">
        <f>(G134+G133)/2</f>
        <v>719029.5019385342</v>
      </c>
    </row>
    <row r="136" spans="1:8" x14ac:dyDescent="0.4">
      <c r="A136" s="69" t="s">
        <v>393</v>
      </c>
      <c r="B136" s="204"/>
      <c r="C136" s="204"/>
      <c r="D136" s="68">
        <v>6912000</v>
      </c>
      <c r="E136" s="354">
        <v>8228749.5899999999</v>
      </c>
      <c r="F136" s="354">
        <v>6541854.5499999998</v>
      </c>
      <c r="G136" s="70">
        <f>604747*9</f>
        <v>5442723</v>
      </c>
    </row>
    <row r="137" spans="1:8" x14ac:dyDescent="0.4">
      <c r="A137" s="120" t="s">
        <v>395</v>
      </c>
      <c r="B137" s="209"/>
      <c r="C137" s="209"/>
      <c r="D137" s="176"/>
      <c r="E137" s="376"/>
      <c r="F137" s="376"/>
      <c r="G137" s="177">
        <f>8228748/12*9</f>
        <v>6171561</v>
      </c>
    </row>
    <row r="138" spans="1:8" x14ac:dyDescent="0.4">
      <c r="A138" s="97" t="s">
        <v>381</v>
      </c>
      <c r="B138" s="207"/>
      <c r="C138" s="207"/>
      <c r="D138" s="98">
        <f>D136-D135</f>
        <v>5903089.8196073929</v>
      </c>
      <c r="E138" s="98">
        <f t="shared" ref="E138:F138" si="108">E136-E135</f>
        <v>7205641.1032310687</v>
      </c>
      <c r="F138" s="98">
        <f t="shared" si="108"/>
        <v>5622809.0007019946</v>
      </c>
      <c r="G138" s="99">
        <f>G136-G135</f>
        <v>4723693.498061466</v>
      </c>
    </row>
    <row r="139" spans="1:8" ht="21.6" thickBot="1" x14ac:dyDescent="0.45">
      <c r="A139" s="107" t="s">
        <v>396</v>
      </c>
      <c r="B139" s="210"/>
      <c r="C139" s="210"/>
      <c r="D139" s="178"/>
      <c r="E139" s="377"/>
      <c r="F139" s="377"/>
      <c r="G139" s="179">
        <f>G137-G134</f>
        <v>5454443.965888381</v>
      </c>
    </row>
    <row r="140" spans="1:8" x14ac:dyDescent="0.4">
      <c r="A140" s="416" t="s">
        <v>360</v>
      </c>
      <c r="B140" s="417"/>
      <c r="C140" s="417"/>
      <c r="D140" s="418"/>
      <c r="E140" s="419"/>
      <c r="F140" s="419"/>
      <c r="G140" s="420"/>
    </row>
    <row r="141" spans="1:8" x14ac:dyDescent="0.4">
      <c r="A141" s="69"/>
      <c r="B141" s="204"/>
      <c r="C141" s="204"/>
      <c r="D141" s="78">
        <v>2023</v>
      </c>
      <c r="E141" s="218">
        <v>2024</v>
      </c>
      <c r="F141" s="390" t="s">
        <v>470</v>
      </c>
      <c r="G141" s="81" t="s">
        <v>276</v>
      </c>
    </row>
    <row r="142" spans="1:8" x14ac:dyDescent="0.4">
      <c r="A142" s="69" t="s">
        <v>337</v>
      </c>
      <c r="B142" s="204"/>
      <c r="C142" s="204"/>
      <c r="D142" s="95">
        <v>3107</v>
      </c>
      <c r="E142" s="363">
        <v>3192</v>
      </c>
      <c r="F142" s="363">
        <v>2460.5</v>
      </c>
      <c r="G142" s="96">
        <v>2473</v>
      </c>
      <c r="H142" s="64"/>
    </row>
    <row r="143" spans="1:8" x14ac:dyDescent="0.4">
      <c r="A143" s="69" t="s">
        <v>275</v>
      </c>
      <c r="B143" s="204"/>
      <c r="C143" s="204"/>
      <c r="D143" s="68">
        <f>D142*600</f>
        <v>1864200</v>
      </c>
      <c r="E143" s="354">
        <f>38500+9965+1639617.18</f>
        <v>1688082.18</v>
      </c>
      <c r="F143" s="354">
        <v>1224959.79</v>
      </c>
      <c r="G143" s="70">
        <f>G142*600</f>
        <v>1483800</v>
      </c>
      <c r="H143" s="64"/>
    </row>
    <row r="144" spans="1:8" ht="21.6" thickBot="1" x14ac:dyDescent="0.45">
      <c r="A144" s="100" t="s">
        <v>376</v>
      </c>
      <c r="B144" s="208"/>
      <c r="C144" s="208"/>
      <c r="D144" s="101">
        <f>D143*D104</f>
        <v>649314.86726267659</v>
      </c>
      <c r="E144" s="101">
        <f t="shared" ref="E144:F144" si="109">E143*E104</f>
        <v>593499.39837501862</v>
      </c>
      <c r="F144" s="101">
        <f t="shared" si="109"/>
        <v>432073.5649019705</v>
      </c>
      <c r="G144" s="102">
        <f>G143*G104</f>
        <v>521677.45015165827</v>
      </c>
      <c r="H144" s="64"/>
    </row>
    <row r="145" spans="1:8" x14ac:dyDescent="0.4">
      <c r="A145" s="400" t="s">
        <v>358</v>
      </c>
      <c r="B145" s="401"/>
      <c r="C145" s="401"/>
      <c r="D145" s="402"/>
      <c r="E145" s="403"/>
      <c r="F145" s="403"/>
      <c r="G145" s="404"/>
      <c r="H145" s="64"/>
    </row>
    <row r="146" spans="1:8" x14ac:dyDescent="0.4">
      <c r="A146" s="69"/>
      <c r="B146" s="218">
        <v>2021</v>
      </c>
      <c r="C146" s="217">
        <v>2022</v>
      </c>
      <c r="D146" s="78">
        <v>2023</v>
      </c>
      <c r="E146" s="218">
        <v>2024</v>
      </c>
      <c r="F146" s="390" t="s">
        <v>470</v>
      </c>
      <c r="G146" s="81" t="s">
        <v>276</v>
      </c>
      <c r="H146" s="64"/>
    </row>
    <row r="147" spans="1:8" x14ac:dyDescent="0.4">
      <c r="A147" s="69" t="s">
        <v>314</v>
      </c>
      <c r="B147" s="68">
        <f>5775027.01+100000</f>
        <v>5875027.0099999998</v>
      </c>
      <c r="C147" s="68">
        <f>5391197.58+400000</f>
        <v>5791197.5800000001</v>
      </c>
      <c r="D147" s="68">
        <v>6413341</v>
      </c>
      <c r="E147" s="354">
        <f>8022351.84+1284593.97</f>
        <v>9306945.8100000005</v>
      </c>
      <c r="F147" s="354">
        <f>5415360.24+962341.84</f>
        <v>6377702.0800000001</v>
      </c>
      <c r="G147" s="70">
        <v>8015000</v>
      </c>
      <c r="H147" s="64"/>
    </row>
    <row r="148" spans="1:8" x14ac:dyDescent="0.4">
      <c r="A148" s="69" t="s">
        <v>313</v>
      </c>
      <c r="B148" s="68">
        <f t="shared" ref="B148:C148" si="110">B147*B20+B147</f>
        <v>7234735.3292417377</v>
      </c>
      <c r="C148" s="68">
        <f t="shared" si="110"/>
        <v>7134482.7967750961</v>
      </c>
      <c r="D148" s="68">
        <f>D147*D20+D147</f>
        <v>8012025.0771634486</v>
      </c>
      <c r="E148" s="68">
        <f t="shared" ref="E148:F148" si="111">E147*E20+E147</f>
        <v>11634271.762675345</v>
      </c>
      <c r="F148" s="68">
        <f t="shared" si="111"/>
        <v>7751420.0817524455</v>
      </c>
      <c r="G148" s="70">
        <f>G147*G20+G147</f>
        <v>9979064.7765870187</v>
      </c>
      <c r="H148" s="64"/>
    </row>
    <row r="149" spans="1:8" x14ac:dyDescent="0.4">
      <c r="A149" s="69" t="s">
        <v>315</v>
      </c>
      <c r="B149" s="95">
        <v>19693</v>
      </c>
      <c r="C149" s="95">
        <v>17934</v>
      </c>
      <c r="D149" s="95">
        <v>16841</v>
      </c>
      <c r="E149" s="363">
        <v>15742</v>
      </c>
      <c r="F149" s="363">
        <v>11301</v>
      </c>
      <c r="G149" s="96">
        <v>11710</v>
      </c>
    </row>
    <row r="150" spans="1:8" x14ac:dyDescent="0.4">
      <c r="A150" s="69" t="s">
        <v>319</v>
      </c>
      <c r="B150" s="103">
        <v>145</v>
      </c>
      <c r="C150" s="103">
        <v>145</v>
      </c>
      <c r="D150" s="103">
        <v>145</v>
      </c>
      <c r="E150" s="103">
        <v>145</v>
      </c>
      <c r="F150" s="103">
        <v>145</v>
      </c>
      <c r="G150" s="104">
        <v>145</v>
      </c>
    </row>
    <row r="151" spans="1:8" x14ac:dyDescent="0.4">
      <c r="A151" s="69" t="s">
        <v>316</v>
      </c>
      <c r="B151" s="103">
        <f t="shared" ref="B151:C151" si="112">B148/B149+B150</f>
        <v>512.37598787598324</v>
      </c>
      <c r="C151" s="103">
        <f t="shared" si="112"/>
        <v>542.81882439919127</v>
      </c>
      <c r="D151" s="103">
        <f>D148/D149+D150</f>
        <v>620.74520973596873</v>
      </c>
      <c r="E151" s="103">
        <f t="shared" ref="E151:F151" si="113">E148/E149+E150</f>
        <v>884.05931664816069</v>
      </c>
      <c r="F151" s="103">
        <f t="shared" si="113"/>
        <v>830.90567929850863</v>
      </c>
      <c r="G151" s="104">
        <f t="shared" ref="G151" si="114">G148/G149+G150</f>
        <v>997.18315769316985</v>
      </c>
    </row>
    <row r="152" spans="1:8" ht="21.6" thickBot="1" x14ac:dyDescent="0.45">
      <c r="A152" s="100" t="s">
        <v>375</v>
      </c>
      <c r="B152" s="101">
        <f t="shared" ref="B152:C152" si="115">B79*B151</f>
        <v>2220390.5662283553</v>
      </c>
      <c r="C152" s="101">
        <f t="shared" si="115"/>
        <v>2114744.5167673603</v>
      </c>
      <c r="D152" s="101">
        <f>D79*D151</f>
        <v>2281052.4222167642</v>
      </c>
      <c r="E152" s="101">
        <f t="shared" ref="E152:F152" si="116">E79*E151</f>
        <v>3375479.9204533412</v>
      </c>
      <c r="F152" s="101">
        <f t="shared" si="116"/>
        <v>3196610.4750564643</v>
      </c>
      <c r="G152" s="102">
        <f>G79*G151</f>
        <v>2696911.7654759092</v>
      </c>
    </row>
    <row r="153" spans="1:8" x14ac:dyDescent="0.4">
      <c r="A153" s="400" t="s">
        <v>357</v>
      </c>
      <c r="B153" s="401"/>
      <c r="C153" s="401"/>
      <c r="D153" s="402"/>
      <c r="E153" s="403"/>
      <c r="F153" s="403"/>
      <c r="G153" s="404"/>
    </row>
    <row r="154" spans="1:8" x14ac:dyDescent="0.4">
      <c r="A154" s="69"/>
      <c r="B154" s="217">
        <v>2021</v>
      </c>
      <c r="C154" s="217">
        <v>2022</v>
      </c>
      <c r="D154" s="78">
        <v>2023</v>
      </c>
      <c r="E154" s="218">
        <v>2024</v>
      </c>
      <c r="F154" s="390" t="s">
        <v>470</v>
      </c>
      <c r="G154" s="81" t="s">
        <v>276</v>
      </c>
    </row>
    <row r="155" spans="1:8" x14ac:dyDescent="0.4">
      <c r="A155" s="134" t="s">
        <v>269</v>
      </c>
      <c r="B155" s="211">
        <v>14952592.460000001</v>
      </c>
      <c r="C155" s="211">
        <v>20450565.359999999</v>
      </c>
      <c r="D155" s="112">
        <v>24056926.280000001</v>
      </c>
      <c r="E155" s="365">
        <f>19650+3714299+20715280.82+912426.06+845567.08</f>
        <v>26207222.959999997</v>
      </c>
      <c r="F155" s="365">
        <f>50966.27+2940776.85+14911398.99+16200+592004.16+238148.11+1614412.58+431617</f>
        <v>20795523.960000001</v>
      </c>
      <c r="G155" s="113">
        <f>47265+33260+2995935+9056+15217377+504909</f>
        <v>18807802</v>
      </c>
    </row>
    <row r="156" spans="1:8" x14ac:dyDescent="0.4">
      <c r="A156" s="134" t="s">
        <v>444</v>
      </c>
      <c r="B156" s="211">
        <v>13601352.199999999</v>
      </c>
      <c r="C156" s="211">
        <v>14159419.300000001</v>
      </c>
      <c r="D156" s="112">
        <v>13597887.9</v>
      </c>
      <c r="E156" s="391">
        <f>G156+1725301.5</f>
        <v>16550186.5</v>
      </c>
      <c r="F156" s="391">
        <f>966150.65+1807607.91+F157</f>
        <v>9374639.4299999997</v>
      </c>
      <c r="G156" s="113">
        <f>3998301+136958+567668+793669+5982261+3346028</f>
        <v>14824885</v>
      </c>
    </row>
    <row r="157" spans="1:8" x14ac:dyDescent="0.4">
      <c r="A157" s="221" t="s">
        <v>445</v>
      </c>
      <c r="B157" s="222">
        <v>9745127.1500000004</v>
      </c>
      <c r="C157" s="222">
        <v>9255131.3800000008</v>
      </c>
      <c r="D157" s="223">
        <v>5241711.1500000004</v>
      </c>
      <c r="E157" s="378">
        <v>10566989.4</v>
      </c>
      <c r="F157" s="378">
        <v>6600880.8700000001</v>
      </c>
      <c r="G157" s="224">
        <v>8724871.0999999996</v>
      </c>
    </row>
    <row r="158" spans="1:8" x14ac:dyDescent="0.4">
      <c r="A158" s="134" t="s">
        <v>351</v>
      </c>
      <c r="B158" s="112">
        <f t="shared" ref="B158:C158" si="117">B155-B156</f>
        <v>1351240.2600000016</v>
      </c>
      <c r="C158" s="112">
        <f t="shared" si="117"/>
        <v>6291146.0599999987</v>
      </c>
      <c r="D158" s="112">
        <f>D155-D156</f>
        <v>10459038.380000001</v>
      </c>
      <c r="E158" s="112">
        <f t="shared" ref="E158:F158" si="118">E155-E156</f>
        <v>9657036.4599999972</v>
      </c>
      <c r="F158" s="112">
        <f t="shared" si="118"/>
        <v>11420884.530000001</v>
      </c>
      <c r="G158" s="113">
        <f>G155-G156</f>
        <v>3982917</v>
      </c>
    </row>
    <row r="159" spans="1:8" x14ac:dyDescent="0.4">
      <c r="A159" s="69" t="s">
        <v>350</v>
      </c>
      <c r="B159" s="95">
        <v>4145</v>
      </c>
      <c r="C159" s="95">
        <v>4382</v>
      </c>
      <c r="D159" s="95">
        <v>4456</v>
      </c>
      <c r="E159" s="363">
        <v>4605</v>
      </c>
      <c r="F159" s="363">
        <v>3562</v>
      </c>
      <c r="G159" s="96">
        <v>3458</v>
      </c>
    </row>
    <row r="160" spans="1:8" ht="21.6" thickBot="1" x14ac:dyDescent="0.45">
      <c r="A160" s="75" t="s">
        <v>382</v>
      </c>
      <c r="B160" s="152">
        <f t="shared" ref="B160:C160" si="119">B158*B104</f>
        <v>473208.27439006977</v>
      </c>
      <c r="C160" s="152">
        <f t="shared" si="119"/>
        <v>2208586.9905099114</v>
      </c>
      <c r="D160" s="152">
        <f>D158*D104</f>
        <v>3642961.6550825769</v>
      </c>
      <c r="E160" s="152">
        <f t="shared" ref="E160:F160" si="120">E158*E104</f>
        <v>3395240.7039185842</v>
      </c>
      <c r="F160" s="152">
        <f t="shared" si="120"/>
        <v>4028427.9806530355</v>
      </c>
      <c r="G160" s="153">
        <f>G158*G104</f>
        <v>1400322.1355477101</v>
      </c>
    </row>
    <row r="161" spans="1:7" x14ac:dyDescent="0.4">
      <c r="A161" s="135"/>
      <c r="B161" s="205"/>
      <c r="C161" s="205"/>
      <c r="D161" s="140"/>
      <c r="E161" s="379"/>
      <c r="F161" s="379"/>
      <c r="G161" s="141"/>
    </row>
    <row r="162" spans="1:7" x14ac:dyDescent="0.4">
      <c r="A162" s="416" t="s">
        <v>471</v>
      </c>
      <c r="B162" s="417"/>
      <c r="C162" s="417"/>
      <c r="D162" s="418"/>
      <c r="E162" s="419"/>
      <c r="F162" s="419"/>
      <c r="G162" s="420"/>
    </row>
    <row r="163" spans="1:7" x14ac:dyDescent="0.4">
      <c r="A163" s="69"/>
      <c r="B163" s="204"/>
      <c r="C163" s="204"/>
      <c r="D163" s="78">
        <v>2023</v>
      </c>
      <c r="E163" s="218">
        <v>2024</v>
      </c>
      <c r="F163" s="218">
        <v>2025</v>
      </c>
      <c r="G163" s="81">
        <v>2024</v>
      </c>
    </row>
    <row r="164" spans="1:7" x14ac:dyDescent="0.4">
      <c r="A164" s="155" t="s">
        <v>374</v>
      </c>
      <c r="B164" s="212"/>
      <c r="C164" s="212"/>
      <c r="D164" s="156">
        <f>D175*D103</f>
        <v>13086015</v>
      </c>
      <c r="E164" s="156">
        <f t="shared" ref="E164" si="121">E175*E103</f>
        <v>14445372</v>
      </c>
      <c r="F164" s="157">
        <f>F175*F103</f>
        <v>15452679</v>
      </c>
      <c r="G164" s="157">
        <f>G175*G103</f>
        <v>14445372</v>
      </c>
    </row>
    <row r="165" spans="1:7" x14ac:dyDescent="0.4">
      <c r="A165" s="105" t="s">
        <v>343</v>
      </c>
      <c r="B165" s="213"/>
      <c r="C165" s="213"/>
      <c r="D165" s="112">
        <f>D202</f>
        <v>1440234.6762549919</v>
      </c>
      <c r="E165" s="112">
        <f t="shared" ref="E165" si="122">E202</f>
        <v>1434558.4009317528</v>
      </c>
      <c r="F165" s="113">
        <f>F202/9*12</f>
        <v>1858184.1063899742</v>
      </c>
      <c r="G165" s="113">
        <f>G202/9*12</f>
        <v>1304958.8714273823</v>
      </c>
    </row>
    <row r="166" spans="1:7" x14ac:dyDescent="0.4">
      <c r="A166" s="105" t="s">
        <v>114</v>
      </c>
      <c r="B166" s="213"/>
      <c r="C166" s="213"/>
      <c r="D166" s="112">
        <f>D138</f>
        <v>5903089.8196073929</v>
      </c>
      <c r="E166" s="112">
        <f t="shared" ref="E166" si="123">E138</f>
        <v>7205641.1032310687</v>
      </c>
      <c r="F166" s="113">
        <f>F138/9*12</f>
        <v>7497078.6676026592</v>
      </c>
      <c r="G166" s="113">
        <f>G138/9*12</f>
        <v>6298257.9974152884</v>
      </c>
    </row>
    <row r="167" spans="1:7" x14ac:dyDescent="0.4">
      <c r="A167" s="69" t="s">
        <v>342</v>
      </c>
      <c r="B167" s="204"/>
      <c r="C167" s="204"/>
      <c r="D167" s="112">
        <f>D144</f>
        <v>649314.86726267659</v>
      </c>
      <c r="E167" s="112">
        <f t="shared" ref="E167" si="124">E144</f>
        <v>593499.39837501862</v>
      </c>
      <c r="F167" s="113">
        <f>F144/9*12</f>
        <v>576098.08653596067</v>
      </c>
      <c r="G167" s="113">
        <f>G144/9*12</f>
        <v>695569.93353554432</v>
      </c>
    </row>
    <row r="168" spans="1:7" x14ac:dyDescent="0.4">
      <c r="A168" s="69" t="s">
        <v>298</v>
      </c>
      <c r="B168" s="204"/>
      <c r="C168" s="204"/>
      <c r="D168" s="112">
        <f>D152</f>
        <v>2281052.4222167642</v>
      </c>
      <c r="E168" s="112">
        <f t="shared" ref="E168" si="125">E152</f>
        <v>3375479.9204533412</v>
      </c>
      <c r="F168" s="113">
        <f>F152/9*12</f>
        <v>4262147.3000752861</v>
      </c>
      <c r="G168" s="113">
        <f>G152/9*12</f>
        <v>3595882.353967879</v>
      </c>
    </row>
    <row r="169" spans="1:7" x14ac:dyDescent="0.4">
      <c r="A169" s="69" t="s">
        <v>346</v>
      </c>
      <c r="B169" s="204"/>
      <c r="C169" s="204"/>
      <c r="D169" s="112">
        <f>D182*D103</f>
        <v>3642961.6550825774</v>
      </c>
      <c r="E169" s="112">
        <f t="shared" ref="E169" si="126">E182*E103</f>
        <v>3395240.7039185842</v>
      </c>
      <c r="F169" s="113">
        <f>F182*F103</f>
        <v>5371237.3075373797</v>
      </c>
      <c r="G169" s="113">
        <f>G182*G103</f>
        <v>1867096.1807302802</v>
      </c>
    </row>
    <row r="170" spans="1:7" x14ac:dyDescent="0.4">
      <c r="A170" s="69" t="s">
        <v>352</v>
      </c>
      <c r="B170" s="204"/>
      <c r="C170" s="204"/>
      <c r="D170" s="112">
        <f>D164-SUM(D165:D169)</f>
        <v>-830638.44042440318</v>
      </c>
      <c r="E170" s="112">
        <f t="shared" ref="E170" si="127">E164-SUM(E165:E169)</f>
        <v>-1559047.5269097667</v>
      </c>
      <c r="F170" s="113">
        <f>F164-SUM(F165:F169)</f>
        <v>-4112066.4681412615</v>
      </c>
      <c r="G170" s="113">
        <f>G164-SUM(G165:G169)</f>
        <v>683606.6629236266</v>
      </c>
    </row>
    <row r="171" spans="1:7" x14ac:dyDescent="0.4">
      <c r="A171" s="106" t="s">
        <v>347</v>
      </c>
      <c r="B171" s="214"/>
      <c r="C171" s="214"/>
      <c r="D171" s="116"/>
      <c r="E171" s="380"/>
      <c r="F171" s="380"/>
      <c r="G171" s="117">
        <f>G139/9*12</f>
        <v>7272591.9545178413</v>
      </c>
    </row>
    <row r="172" spans="1:7" ht="21.6" thickBot="1" x14ac:dyDescent="0.45">
      <c r="A172" s="169" t="s">
        <v>352</v>
      </c>
      <c r="B172" s="215"/>
      <c r="C172" s="215"/>
      <c r="D172" s="170"/>
      <c r="E172" s="381"/>
      <c r="F172" s="381"/>
      <c r="G172" s="171">
        <f>G164-SUM(G165,G167:G169,G171)</f>
        <v>-290727.29417892732</v>
      </c>
    </row>
    <row r="173" spans="1:7" x14ac:dyDescent="0.4">
      <c r="A173" s="400" t="s">
        <v>472</v>
      </c>
      <c r="B173" s="401"/>
      <c r="C173" s="401"/>
      <c r="D173" s="402"/>
      <c r="E173" s="403"/>
      <c r="F173" s="403"/>
      <c r="G173" s="404"/>
    </row>
    <row r="174" spans="1:7" x14ac:dyDescent="0.4">
      <c r="A174" s="69"/>
      <c r="B174" s="78"/>
      <c r="C174" s="78"/>
      <c r="D174" s="78">
        <v>2023</v>
      </c>
      <c r="E174" s="218">
        <v>2024</v>
      </c>
      <c r="F174" s="218">
        <v>2025</v>
      </c>
      <c r="G174" s="81">
        <v>2024</v>
      </c>
    </row>
    <row r="175" spans="1:7" x14ac:dyDescent="0.4">
      <c r="A175" s="155" t="s">
        <v>341</v>
      </c>
      <c r="B175" s="123"/>
      <c r="C175" s="123"/>
      <c r="D175" s="123">
        <v>641</v>
      </c>
      <c r="E175" s="382">
        <v>681</v>
      </c>
      <c r="F175" s="454">
        <v>723</v>
      </c>
      <c r="G175" s="124">
        <v>681</v>
      </c>
    </row>
    <row r="176" spans="1:7" x14ac:dyDescent="0.4">
      <c r="A176" s="105" t="s">
        <v>343</v>
      </c>
      <c r="B176" s="213"/>
      <c r="C176" s="213"/>
      <c r="D176" s="122">
        <f>D202/D103</f>
        <v>70.547865601518097</v>
      </c>
      <c r="E176" s="122">
        <f>E202/E103</f>
        <v>67.62956821288671</v>
      </c>
      <c r="F176" s="125">
        <f>F202/F103/9*12</f>
        <v>86.940724577269179</v>
      </c>
      <c r="G176" s="125">
        <f>G202/G103/9*12</f>
        <v>61.519841194954857</v>
      </c>
    </row>
    <row r="177" spans="1:8" x14ac:dyDescent="0.4">
      <c r="A177" s="105" t="s">
        <v>114</v>
      </c>
      <c r="B177" s="213"/>
      <c r="C177" s="213"/>
      <c r="D177" s="122">
        <f>$D$138/$D$103</f>
        <v>289.15453439174104</v>
      </c>
      <c r="E177" s="122">
        <f>$D$138/$D$103</f>
        <v>289.15453439174104</v>
      </c>
      <c r="F177" s="125">
        <f>F138/$G$103/9*12</f>
        <v>353.43572824828681</v>
      </c>
      <c r="G177" s="125">
        <f>G138/$G$103/9*12</f>
        <v>296.91957370428474</v>
      </c>
      <c r="H177" s="351" t="e">
        <f>ROUND(G184+#REF!,0)</f>
        <v>#REF!</v>
      </c>
    </row>
    <row r="178" spans="1:8" x14ac:dyDescent="0.4">
      <c r="A178" s="105" t="s">
        <v>462</v>
      </c>
      <c r="B178" s="213"/>
      <c r="C178" s="213"/>
      <c r="D178" s="122"/>
      <c r="E178" s="122"/>
      <c r="F178" s="125"/>
      <c r="G178" s="125"/>
      <c r="H178" s="351" t="e">
        <f>ROUND(H177*G285,0)</f>
        <v>#REF!</v>
      </c>
    </row>
    <row r="179" spans="1:8" x14ac:dyDescent="0.4">
      <c r="A179" s="105" t="s">
        <v>461</v>
      </c>
      <c r="B179" s="213"/>
      <c r="C179" s="213"/>
      <c r="D179" s="122"/>
      <c r="E179" s="122"/>
      <c r="F179" s="125"/>
      <c r="G179" s="125"/>
      <c r="H179" s="351" t="e">
        <f>ROUND(H177*G286,0)</f>
        <v>#REF!</v>
      </c>
    </row>
    <row r="180" spans="1:8" x14ac:dyDescent="0.4">
      <c r="A180" s="69" t="s">
        <v>342</v>
      </c>
      <c r="B180" s="204"/>
      <c r="C180" s="204"/>
      <c r="D180" s="122">
        <f>D144/D103</f>
        <v>31.805773561727975</v>
      </c>
      <c r="E180" s="122">
        <f>E144/E103</f>
        <v>27.979417234349359</v>
      </c>
      <c r="F180" s="125">
        <f>F144/F103/9*12</f>
        <v>26.954479321384959</v>
      </c>
      <c r="G180" s="125">
        <f>G144/G103/9*12</f>
        <v>32.791341388626456</v>
      </c>
      <c r="H180" s="351">
        <f>ROUND(G180,0)</f>
        <v>33</v>
      </c>
    </row>
    <row r="181" spans="1:8" x14ac:dyDescent="0.4">
      <c r="A181" s="69" t="s">
        <v>298</v>
      </c>
      <c r="B181" s="204"/>
      <c r="C181" s="204"/>
      <c r="D181" s="122">
        <f>D152/D103</f>
        <v>111.73413775247437</v>
      </c>
      <c r="E181" s="122">
        <f>E152/E103</f>
        <v>159.13067699666891</v>
      </c>
      <c r="F181" s="125">
        <f>F152/F103/9*12</f>
        <v>199.41736303164205</v>
      </c>
      <c r="G181" s="125">
        <f>G152/G103/9*12</f>
        <v>169.52113680783893</v>
      </c>
      <c r="H181" s="351">
        <f>ROUND(G181,0)</f>
        <v>170</v>
      </c>
    </row>
    <row r="182" spans="1:8" x14ac:dyDescent="0.4">
      <c r="A182" s="69" t="s">
        <v>346</v>
      </c>
      <c r="B182" s="204"/>
      <c r="C182" s="204"/>
      <c r="D182" s="122">
        <f>D158/D102</f>
        <v>178.4453419095066</v>
      </c>
      <c r="E182" s="122">
        <f>E158/E102</f>
        <v>160.06226211194533</v>
      </c>
      <c r="F182" s="125">
        <f>F158/F102/9*12</f>
        <v>251.30947024457868</v>
      </c>
      <c r="G182" s="125">
        <f>G158/G102/9*12</f>
        <v>88.020751495864616</v>
      </c>
      <c r="H182" s="351" t="e">
        <f>G175-H178-H179-H180-H181</f>
        <v>#REF!</v>
      </c>
    </row>
    <row r="183" spans="1:8" x14ac:dyDescent="0.4">
      <c r="A183" s="69" t="s">
        <v>352</v>
      </c>
      <c r="B183" s="204"/>
      <c r="C183" s="204"/>
      <c r="D183" s="122">
        <f>D175-SUM(D176:D182)</f>
        <v>-40.687653216968101</v>
      </c>
      <c r="E183" s="122">
        <f>E175-SUM(E176:E182)</f>
        <v>-22.956458947591273</v>
      </c>
      <c r="F183" s="125">
        <f>F175-SUM(F176:F182)</f>
        <v>-195.05776542316175</v>
      </c>
      <c r="G183" s="125">
        <f>G175-SUM(G176:G182)</f>
        <v>32.227355408430412</v>
      </c>
    </row>
    <row r="184" spans="1:8" x14ac:dyDescent="0.4">
      <c r="A184" s="106" t="s">
        <v>347</v>
      </c>
      <c r="B184" s="214"/>
      <c r="C184" s="214"/>
      <c r="D184" s="126"/>
      <c r="E184" s="383"/>
      <c r="F184" s="383"/>
      <c r="G184" s="127">
        <f>G139/$G$103/9*12</f>
        <v>342.8527227285424</v>
      </c>
    </row>
    <row r="185" spans="1:8" x14ac:dyDescent="0.4">
      <c r="A185" s="120" t="s">
        <v>352</v>
      </c>
      <c r="B185" s="209"/>
      <c r="C185" s="209"/>
      <c r="D185" s="128"/>
      <c r="E185" s="384"/>
      <c r="F185" s="384"/>
      <c r="G185" s="129">
        <f>G175-SUM(G176,G180:G182,G184)</f>
        <v>-13.705793615827247</v>
      </c>
    </row>
    <row r="186" spans="1:8" ht="21.6" thickBot="1" x14ac:dyDescent="0.45">
      <c r="A186" s="107"/>
      <c r="B186" s="210"/>
      <c r="C186" s="210"/>
      <c r="D186" s="130"/>
      <c r="E186" s="385"/>
      <c r="F186" s="385"/>
      <c r="G186" s="131"/>
    </row>
    <row r="187" spans="1:8" ht="21.6" thickBot="1" x14ac:dyDescent="0.45"/>
    <row r="188" spans="1:8" x14ac:dyDescent="0.4">
      <c r="A188" s="400" t="s">
        <v>333</v>
      </c>
      <c r="B188" s="401"/>
      <c r="C188" s="401"/>
      <c r="D188" s="402"/>
      <c r="E188" s="403"/>
      <c r="F188" s="403"/>
      <c r="G188" s="404"/>
    </row>
    <row r="189" spans="1:8" x14ac:dyDescent="0.4">
      <c r="A189" s="69"/>
      <c r="B189" s="217">
        <v>2021</v>
      </c>
      <c r="C189" s="217">
        <v>2022</v>
      </c>
      <c r="D189" s="78">
        <v>2023</v>
      </c>
      <c r="E189" s="218">
        <v>2024</v>
      </c>
      <c r="F189" s="218" t="s">
        <v>468</v>
      </c>
      <c r="G189" s="81" t="s">
        <v>276</v>
      </c>
    </row>
    <row r="190" spans="1:8" x14ac:dyDescent="0.4">
      <c r="A190" s="69" t="s">
        <v>270</v>
      </c>
      <c r="B190" s="112">
        <f>244*13*252</f>
        <v>799344</v>
      </c>
      <c r="C190" s="112">
        <f>253*13*252</f>
        <v>828828</v>
      </c>
      <c r="D190" s="112">
        <v>897000</v>
      </c>
      <c r="E190" s="365">
        <v>956592</v>
      </c>
      <c r="F190" s="365">
        <f>685100-88660+169260.4</f>
        <v>765700.4</v>
      </c>
      <c r="G190" s="113">
        <f>960000/12*9</f>
        <v>720000</v>
      </c>
    </row>
    <row r="191" spans="1:8" x14ac:dyDescent="0.4">
      <c r="A191" s="69" t="s">
        <v>274</v>
      </c>
      <c r="B191" s="112">
        <f>A4*5</f>
        <v>83000</v>
      </c>
      <c r="C191" s="112">
        <f>A4*5</f>
        <v>83000</v>
      </c>
      <c r="D191" s="112">
        <f>A4*5</f>
        <v>83000</v>
      </c>
      <c r="E191" s="365">
        <f>A4*5</f>
        <v>83000</v>
      </c>
      <c r="F191" s="365">
        <v>62250</v>
      </c>
      <c r="G191" s="113">
        <f>A4*5/12*9</f>
        <v>62250</v>
      </c>
    </row>
    <row r="192" spans="1:8" x14ac:dyDescent="0.4">
      <c r="A192" s="69" t="s">
        <v>282</v>
      </c>
      <c r="B192" s="112">
        <f t="shared" ref="B192:C192" si="128">(6480*12+2900*12)</f>
        <v>112560</v>
      </c>
      <c r="C192" s="112">
        <f t="shared" si="128"/>
        <v>112560</v>
      </c>
      <c r="D192" s="112">
        <f>(6480*12+2900*12)</f>
        <v>112560</v>
      </c>
      <c r="E192" s="112">
        <f>(6480*12+2900*12)</f>
        <v>112560</v>
      </c>
      <c r="F192" s="113">
        <f>C192/12*9</f>
        <v>84420</v>
      </c>
      <c r="G192" s="113">
        <f>D192/12*9</f>
        <v>84420</v>
      </c>
    </row>
    <row r="193" spans="1:7" x14ac:dyDescent="0.4">
      <c r="A193" s="69" t="s">
        <v>291</v>
      </c>
      <c r="B193" s="112">
        <f t="shared" ref="B193:C193" si="129">B92*B31</f>
        <v>406919.33706084476</v>
      </c>
      <c r="C193" s="112">
        <f t="shared" si="129"/>
        <v>332617.51460581506</v>
      </c>
      <c r="D193" s="112">
        <f>D92*D31</f>
        <v>306768.56094398949</v>
      </c>
      <c r="E193" s="112">
        <f t="shared" ref="E193:F193" si="130">E92*E31</f>
        <v>372892.37693270179</v>
      </c>
      <c r="F193" s="112">
        <f t="shared" si="130"/>
        <v>261265.55029800857</v>
      </c>
      <c r="G193" s="113">
        <f>G92*G31</f>
        <v>291623.88993434294</v>
      </c>
    </row>
    <row r="194" spans="1:7" x14ac:dyDescent="0.4">
      <c r="A194" s="69" t="s">
        <v>294</v>
      </c>
      <c r="B194" s="112">
        <v>50000</v>
      </c>
      <c r="C194" s="112">
        <v>50000</v>
      </c>
      <c r="D194" s="112">
        <v>50000</v>
      </c>
      <c r="E194" s="112">
        <v>50000</v>
      </c>
      <c r="F194" s="112">
        <v>50000</v>
      </c>
      <c r="G194" s="113">
        <f>50000/12*9</f>
        <v>37500</v>
      </c>
    </row>
    <row r="195" spans="1:7" ht="21.6" thickBot="1" x14ac:dyDescent="0.45">
      <c r="A195" s="75" t="s">
        <v>367</v>
      </c>
      <c r="B195" s="142">
        <f t="shared" ref="B195:C195" si="131">SUM(B190:B192,B193:B194)</f>
        <v>1451823.3370608448</v>
      </c>
      <c r="C195" s="142">
        <f t="shared" si="131"/>
        <v>1407005.5146058151</v>
      </c>
      <c r="D195" s="142">
        <f>SUM(D190:D192,D193:D194)</f>
        <v>1449328.5609439895</v>
      </c>
      <c r="E195" s="142">
        <f t="shared" ref="E195:F195" si="132">SUM(E190:E192,E193:E194)</f>
        <v>1575044.3769327018</v>
      </c>
      <c r="F195" s="142">
        <f t="shared" si="132"/>
        <v>1223635.9502980085</v>
      </c>
      <c r="G195" s="115">
        <f>SUM(G190:G192,G193:G194)</f>
        <v>1195793.8899343428</v>
      </c>
    </row>
    <row r="196" spans="1:7" x14ac:dyDescent="0.4">
      <c r="A196" s="400" t="s">
        <v>338</v>
      </c>
      <c r="B196" s="401"/>
      <c r="C196" s="401"/>
      <c r="D196" s="402"/>
      <c r="E196" s="403"/>
      <c r="F196" s="403"/>
      <c r="G196" s="404"/>
    </row>
    <row r="197" spans="1:7" x14ac:dyDescent="0.4">
      <c r="A197" s="69"/>
      <c r="B197" s="217">
        <v>2021</v>
      </c>
      <c r="C197" s="217">
        <v>2022</v>
      </c>
      <c r="D197" s="78">
        <v>2023</v>
      </c>
      <c r="E197" s="218">
        <v>2024</v>
      </c>
      <c r="F197" s="218" t="s">
        <v>469</v>
      </c>
      <c r="G197" s="81" t="s">
        <v>276</v>
      </c>
    </row>
    <row r="198" spans="1:7" x14ac:dyDescent="0.4">
      <c r="A198" s="69" t="s">
        <v>296</v>
      </c>
      <c r="B198" s="68">
        <f>8*A4</f>
        <v>132800</v>
      </c>
      <c r="C198" s="70">
        <f>8*A4</f>
        <v>132800</v>
      </c>
      <c r="D198" s="68">
        <f>8*A4</f>
        <v>132800</v>
      </c>
      <c r="E198" s="354">
        <v>132800</v>
      </c>
      <c r="F198" s="354">
        <v>99600</v>
      </c>
      <c r="G198" s="70">
        <f>8*A3*3</f>
        <v>99600</v>
      </c>
    </row>
    <row r="199" spans="1:7" x14ac:dyDescent="0.4">
      <c r="A199" s="69" t="s">
        <v>294</v>
      </c>
      <c r="B199" s="68">
        <v>50000</v>
      </c>
      <c r="C199" s="70">
        <f>50000</f>
        <v>50000</v>
      </c>
      <c r="D199" s="68">
        <v>50000</v>
      </c>
      <c r="E199" s="354">
        <v>50000</v>
      </c>
      <c r="F199" s="354">
        <v>37500</v>
      </c>
      <c r="G199" s="70">
        <f>50000/12*9</f>
        <v>37500</v>
      </c>
    </row>
    <row r="200" spans="1:7" x14ac:dyDescent="0.4">
      <c r="A200" s="69" t="s">
        <v>415</v>
      </c>
      <c r="B200" s="68">
        <v>263994</v>
      </c>
      <c r="C200" s="70">
        <v>196988</v>
      </c>
      <c r="D200" s="68">
        <v>129982</v>
      </c>
      <c r="E200" s="68">
        <f>126519.55+7533+28086.77</f>
        <v>162139.31999999998</v>
      </c>
      <c r="F200" s="68">
        <f>830946.57-777623.2+7533+4389.8</f>
        <v>65246.17</v>
      </c>
      <c r="G200" s="70">
        <v>62976</v>
      </c>
    </row>
    <row r="201" spans="1:7" x14ac:dyDescent="0.4">
      <c r="A201" s="69" t="s">
        <v>280</v>
      </c>
      <c r="B201" s="68">
        <f>B89*B31</f>
        <v>1234004.3888742048</v>
      </c>
      <c r="C201" s="70">
        <f>C89*C31</f>
        <v>1123877.0794446371</v>
      </c>
      <c r="D201" s="68">
        <f>D89*D31</f>
        <v>1127452.6762549919</v>
      </c>
      <c r="E201" s="68">
        <f t="shared" ref="E201:F201" si="133">E89*E31</f>
        <v>1089619.0809317527</v>
      </c>
      <c r="F201" s="68">
        <f t="shared" si="133"/>
        <v>1191291.9097924808</v>
      </c>
      <c r="G201" s="70">
        <f>G89*G31</f>
        <v>778643.15357053676</v>
      </c>
    </row>
    <row r="202" spans="1:7" x14ac:dyDescent="0.4">
      <c r="A202" s="97" t="s">
        <v>339</v>
      </c>
      <c r="B202" s="98">
        <f>SUM(B198:B201)</f>
        <v>1680798.3888742048</v>
      </c>
      <c r="C202" s="99">
        <f>SUM(C198:C201)</f>
        <v>1503665.0794446371</v>
      </c>
      <c r="D202" s="98">
        <f>SUM(D198:D201)</f>
        <v>1440234.6762549919</v>
      </c>
      <c r="E202" s="98">
        <f t="shared" ref="E202:F202" si="134">SUM(E198:E201)</f>
        <v>1434558.4009317528</v>
      </c>
      <c r="F202" s="98">
        <f t="shared" si="134"/>
        <v>1393638.0797924807</v>
      </c>
      <c r="G202" s="99">
        <f>SUM(G198:G201)</f>
        <v>978719.15357053676</v>
      </c>
    </row>
    <row r="204" spans="1:7" x14ac:dyDescent="0.4">
      <c r="A204" s="400" t="s">
        <v>431</v>
      </c>
      <c r="B204" s="401"/>
      <c r="C204" s="401"/>
      <c r="D204" s="402"/>
      <c r="E204" s="403"/>
      <c r="F204" s="403"/>
      <c r="G204" s="404"/>
    </row>
    <row r="205" spans="1:7" x14ac:dyDescent="0.4">
      <c r="A205" s="69"/>
      <c r="B205" s="217">
        <v>2021</v>
      </c>
      <c r="C205" s="217">
        <v>2022</v>
      </c>
      <c r="D205" s="78">
        <v>2023</v>
      </c>
      <c r="E205" s="218">
        <v>2024</v>
      </c>
      <c r="F205" s="218" t="s">
        <v>468</v>
      </c>
      <c r="G205" s="81" t="s">
        <v>276</v>
      </c>
    </row>
    <row r="206" spans="1:7" x14ac:dyDescent="0.4">
      <c r="A206" s="69" t="s">
        <v>366</v>
      </c>
      <c r="B206" s="112">
        <f t="shared" ref="B206:C206" si="135">-B195*B114</f>
        <v>-820905.00793923205</v>
      </c>
      <c r="C206" s="112">
        <f t="shared" si="135"/>
        <v>-777330.88708057604</v>
      </c>
      <c r="D206" s="112">
        <f>-D195*D114</f>
        <v>-695782.77245175524</v>
      </c>
      <c r="E206" s="112">
        <f t="shared" ref="E206:F206" si="136">-E195*E114</f>
        <v>-764478.02408399724</v>
      </c>
      <c r="F206" s="112">
        <f t="shared" si="136"/>
        <v>-603470.91891880159</v>
      </c>
      <c r="G206" s="113">
        <f>-G195*G114</f>
        <v>-577548.60517840832</v>
      </c>
    </row>
    <row r="207" spans="1:7" x14ac:dyDescent="0.4">
      <c r="A207" s="69" t="s">
        <v>325</v>
      </c>
      <c r="B207" s="112">
        <v>424103</v>
      </c>
      <c r="C207" s="112">
        <v>395503</v>
      </c>
      <c r="D207" s="112">
        <v>493624.57</v>
      </c>
      <c r="E207" s="365">
        <f>196732.4+G207</f>
        <v>812294.4</v>
      </c>
      <c r="F207" s="365">
        <v>894946.3</v>
      </c>
      <c r="G207" s="113">
        <v>615562</v>
      </c>
    </row>
    <row r="208" spans="1:7" x14ac:dyDescent="0.4">
      <c r="A208" s="69" t="s">
        <v>326</v>
      </c>
      <c r="B208" s="95">
        <v>660</v>
      </c>
      <c r="C208" s="95">
        <v>567</v>
      </c>
      <c r="D208" s="95">
        <v>250</v>
      </c>
      <c r="E208" s="95">
        <f>83.68+G208</f>
        <v>342.68</v>
      </c>
      <c r="F208" s="95">
        <v>181.5</v>
      </c>
      <c r="G208" s="96">
        <v>259</v>
      </c>
    </row>
    <row r="209" spans="1:10" x14ac:dyDescent="0.4">
      <c r="A209" s="69" t="s">
        <v>446</v>
      </c>
      <c r="B209" s="95">
        <v>0</v>
      </c>
      <c r="C209" s="95">
        <v>0</v>
      </c>
      <c r="D209" s="95">
        <v>170</v>
      </c>
      <c r="E209" s="95">
        <f>54.823+G209</f>
        <v>227.82300000000001</v>
      </c>
      <c r="F209" s="95">
        <v>192.69800000000001</v>
      </c>
      <c r="G209" s="96">
        <v>173</v>
      </c>
    </row>
    <row r="210" spans="1:10" x14ac:dyDescent="0.4">
      <c r="A210" s="69" t="s">
        <v>327</v>
      </c>
      <c r="B210" s="95">
        <v>148</v>
      </c>
      <c r="C210" s="95">
        <v>70</v>
      </c>
      <c r="D210" s="95">
        <v>60</v>
      </c>
      <c r="E210" s="95">
        <f>6.71+G210</f>
        <v>63.71</v>
      </c>
      <c r="F210" s="95">
        <v>41.91</v>
      </c>
      <c r="G210" s="96">
        <v>57</v>
      </c>
    </row>
    <row r="211" spans="1:10" x14ac:dyDescent="0.4">
      <c r="A211" s="69" t="s">
        <v>328</v>
      </c>
      <c r="B211" s="112">
        <f t="shared" ref="B211:C211" si="137">-(B209*B40+B208*B151)</f>
        <v>-338168.15199814894</v>
      </c>
      <c r="C211" s="112">
        <f t="shared" si="137"/>
        <v>-307778.27343434148</v>
      </c>
      <c r="D211" s="112">
        <f>-(D209*D40+D208*D151)</f>
        <v>-792316.43310275883</v>
      </c>
      <c r="E211" s="112">
        <f t="shared" ref="E211:F211" si="138">-(E209*E40+E208*E151)</f>
        <v>-1214287.6234783905</v>
      </c>
      <c r="F211" s="112">
        <f t="shared" si="138"/>
        <v>-947102.87895275839</v>
      </c>
      <c r="G211" s="112">
        <f>-(G209*G40+G208*G151)</f>
        <v>-947529.35990348842</v>
      </c>
    </row>
    <row r="212" spans="1:10" x14ac:dyDescent="0.4">
      <c r="A212" s="69" t="s">
        <v>392</v>
      </c>
      <c r="B212" s="112">
        <f t="shared" ref="B212:C212" si="139">B207+B211</f>
        <v>85934.84800185106</v>
      </c>
      <c r="C212" s="112">
        <f t="shared" si="139"/>
        <v>87724.726565658522</v>
      </c>
      <c r="D212" s="112">
        <f>D207+D211</f>
        <v>-298691.86310275883</v>
      </c>
      <c r="E212" s="112">
        <f t="shared" ref="E212:F212" si="140">E207+E211</f>
        <v>-401993.22347839049</v>
      </c>
      <c r="F212" s="112">
        <f t="shared" si="140"/>
        <v>-52156.57895275834</v>
      </c>
      <c r="G212" s="112">
        <f>G207+G211</f>
        <v>-331967.35990348842</v>
      </c>
      <c r="I212" s="118"/>
    </row>
    <row r="213" spans="1:10" x14ac:dyDescent="0.4">
      <c r="A213" s="69" t="s">
        <v>329</v>
      </c>
      <c r="B213" s="112">
        <f t="shared" ref="B213:C213" si="141">B206+B212</f>
        <v>-734970.15993738105</v>
      </c>
      <c r="C213" s="112">
        <f t="shared" si="141"/>
        <v>-689606.16051491746</v>
      </c>
      <c r="D213" s="112">
        <f>D206+D212</f>
        <v>-994474.63555451413</v>
      </c>
      <c r="E213" s="112">
        <f t="shared" ref="E213:F213" si="142">E206+E212</f>
        <v>-1166471.2475623877</v>
      </c>
      <c r="F213" s="112">
        <f t="shared" si="142"/>
        <v>-655627.49787155993</v>
      </c>
      <c r="G213" s="113">
        <f>G206+G212</f>
        <v>-909515.96508189675</v>
      </c>
    </row>
    <row r="214" spans="1:10" ht="21.6" thickBot="1" x14ac:dyDescent="0.45">
      <c r="A214" s="71" t="s">
        <v>473</v>
      </c>
      <c r="B214" s="206"/>
      <c r="C214" s="206"/>
      <c r="D214" s="114"/>
      <c r="E214" s="364"/>
      <c r="F214" s="115">
        <f>F213/9*12</f>
        <v>-874169.9971620799</v>
      </c>
      <c r="G214" s="115">
        <f>G213/9*12</f>
        <v>-1212687.9534425288</v>
      </c>
    </row>
    <row r="215" spans="1:10" ht="21.6" thickBot="1" x14ac:dyDescent="0.45">
      <c r="D215" s="64"/>
      <c r="E215" s="64"/>
      <c r="F215" s="64"/>
      <c r="G215" s="64"/>
    </row>
    <row r="216" spans="1:10" x14ac:dyDescent="0.4">
      <c r="A216" s="400" t="s">
        <v>432</v>
      </c>
      <c r="B216" s="401"/>
      <c r="C216" s="401"/>
      <c r="D216" s="402"/>
      <c r="E216" s="403"/>
      <c r="F216" s="403"/>
      <c r="G216" s="404"/>
      <c r="H216" s="147"/>
      <c r="I216" s="148"/>
    </row>
    <row r="217" spans="1:10" x14ac:dyDescent="0.4">
      <c r="A217" s="69"/>
      <c r="B217" s="217">
        <v>2021</v>
      </c>
      <c r="C217" s="217">
        <v>2022</v>
      </c>
      <c r="D217" s="78">
        <v>2023</v>
      </c>
      <c r="E217" s="218">
        <v>2024</v>
      </c>
      <c r="F217" s="218" t="s">
        <v>468</v>
      </c>
      <c r="G217" s="81" t="s">
        <v>276</v>
      </c>
      <c r="H217" s="149"/>
    </row>
    <row r="218" spans="1:10" x14ac:dyDescent="0.4">
      <c r="A218" s="69" t="s">
        <v>366</v>
      </c>
      <c r="B218" s="159">
        <f t="shared" ref="B218:C218" si="143">-B202*B83</f>
        <v>-811165.72833256784</v>
      </c>
      <c r="C218" s="159">
        <f t="shared" si="143"/>
        <v>-744479.31322412624</v>
      </c>
      <c r="D218" s="159">
        <f>-D202*D83</f>
        <v>-691796.55193768279</v>
      </c>
      <c r="E218" s="159">
        <f t="shared" ref="E218:F218" si="144">-E202*E83</f>
        <v>-697939.23026619491</v>
      </c>
      <c r="F218" s="159">
        <f t="shared" si="144"/>
        <v>-682207.21780896455</v>
      </c>
      <c r="G218" s="159">
        <f>-G202*G83</f>
        <v>-451636.71528945607</v>
      </c>
    </row>
    <row r="219" spans="1:10" x14ac:dyDescent="0.4">
      <c r="A219" s="158" t="s">
        <v>473</v>
      </c>
      <c r="B219" s="216"/>
      <c r="C219" s="216"/>
      <c r="D219" s="159"/>
      <c r="E219" s="386"/>
      <c r="F219" s="160">
        <f>F218/9*12</f>
        <v>-909609.62374528614</v>
      </c>
      <c r="G219" s="160">
        <f>G218/9*12</f>
        <v>-602182.2870526081</v>
      </c>
    </row>
    <row r="220" spans="1:10" x14ac:dyDescent="0.4">
      <c r="A220" s="158"/>
      <c r="B220" s="216"/>
      <c r="C220" s="216"/>
      <c r="D220" s="73"/>
      <c r="E220" s="353"/>
      <c r="F220" s="353"/>
      <c r="G220" s="74"/>
    </row>
    <row r="221" spans="1:10" ht="21.6" thickBot="1" x14ac:dyDescent="0.45"/>
    <row r="222" spans="1:10" x14ac:dyDescent="0.4">
      <c r="A222" s="400" t="s">
        <v>433</v>
      </c>
      <c r="B222" s="401"/>
      <c r="C222" s="401"/>
      <c r="D222" s="402"/>
      <c r="E222" s="403"/>
      <c r="F222" s="403"/>
      <c r="G222" s="404"/>
      <c r="I222" s="64"/>
      <c r="J222" s="64"/>
    </row>
    <row r="223" spans="1:10" x14ac:dyDescent="0.4">
      <c r="A223" s="69"/>
      <c r="B223" s="217">
        <v>2021</v>
      </c>
      <c r="C223" s="217">
        <v>2022</v>
      </c>
      <c r="D223" s="78">
        <v>2023</v>
      </c>
      <c r="E223" s="218">
        <v>2024</v>
      </c>
      <c r="F223" s="218">
        <v>2025</v>
      </c>
      <c r="G223" s="81">
        <v>2024</v>
      </c>
      <c r="I223" s="118"/>
      <c r="J223" s="118"/>
    </row>
    <row r="224" spans="1:10" ht="21.6" thickBot="1" x14ac:dyDescent="0.45">
      <c r="A224" s="75" t="s">
        <v>289</v>
      </c>
      <c r="B224" s="142">
        <f t="shared" ref="B224:C224" si="145">B218+B213</f>
        <v>-1546135.8882699488</v>
      </c>
      <c r="C224" s="142">
        <f t="shared" si="145"/>
        <v>-1434085.4737390438</v>
      </c>
      <c r="D224" s="142">
        <f>D218+D213</f>
        <v>-1686271.1874921969</v>
      </c>
      <c r="E224" s="142">
        <f t="shared" ref="E224:F224" si="146">E218+E213</f>
        <v>-1864410.4778285827</v>
      </c>
      <c r="F224" s="142">
        <f t="shared" si="146"/>
        <v>-1337834.7156805245</v>
      </c>
      <c r="G224" s="115">
        <f>G219+G214</f>
        <v>-1814870.2404951369</v>
      </c>
    </row>
    <row r="225" spans="1:8" ht="21.6" thickBot="1" x14ac:dyDescent="0.45"/>
    <row r="226" spans="1:8" x14ac:dyDescent="0.4">
      <c r="A226" s="400" t="s">
        <v>434</v>
      </c>
      <c r="B226" s="401"/>
      <c r="C226" s="401"/>
      <c r="D226" s="402"/>
      <c r="E226" s="403"/>
      <c r="F226" s="403"/>
      <c r="G226" s="404"/>
    </row>
    <row r="227" spans="1:8" x14ac:dyDescent="0.4">
      <c r="A227" s="69"/>
      <c r="B227" s="217">
        <v>2021</v>
      </c>
      <c r="C227" s="217">
        <v>2022</v>
      </c>
      <c r="D227" s="78">
        <v>2023</v>
      </c>
      <c r="E227" s="218">
        <v>2024</v>
      </c>
      <c r="F227" s="218">
        <v>2025</v>
      </c>
      <c r="G227" s="81">
        <v>2024</v>
      </c>
    </row>
    <row r="228" spans="1:8" x14ac:dyDescent="0.4">
      <c r="A228" s="119" t="s">
        <v>131</v>
      </c>
      <c r="B228" s="186">
        <f t="shared" ref="B228:C228" si="147">B224</f>
        <v>-1546135.8882699488</v>
      </c>
      <c r="C228" s="186">
        <f t="shared" si="147"/>
        <v>-1434085.4737390438</v>
      </c>
      <c r="D228" s="186">
        <f>D224</f>
        <v>-1686271.1874921969</v>
      </c>
      <c r="E228" s="186">
        <f t="shared" ref="E228:F228" si="148">E224</f>
        <v>-1864410.4778285827</v>
      </c>
      <c r="F228" s="186">
        <f t="shared" si="148"/>
        <v>-1337834.7156805245</v>
      </c>
      <c r="G228" s="187">
        <f>G224</f>
        <v>-1814870.2404951369</v>
      </c>
      <c r="H228" s="118">
        <f>G228</f>
        <v>-1814870.2404951369</v>
      </c>
    </row>
    <row r="229" spans="1:8" x14ac:dyDescent="0.4">
      <c r="A229" s="119"/>
      <c r="B229" s="219">
        <v>2021</v>
      </c>
      <c r="C229" s="219">
        <v>2022</v>
      </c>
      <c r="D229" s="219">
        <v>2023</v>
      </c>
      <c r="E229" s="387">
        <v>2024</v>
      </c>
      <c r="F229" s="387" t="s">
        <v>468</v>
      </c>
      <c r="G229" s="220" t="s">
        <v>276</v>
      </c>
    </row>
    <row r="230" spans="1:8" x14ac:dyDescent="0.4">
      <c r="A230" s="119" t="s">
        <v>401</v>
      </c>
      <c r="B230" s="188">
        <f t="shared" ref="B230:C230" si="149">B202*B84</f>
        <v>634363.27197062329</v>
      </c>
      <c r="C230" s="188">
        <f t="shared" si="149"/>
        <v>586479.2369483728</v>
      </c>
      <c r="D230" s="188">
        <f>D202*D84</f>
        <v>558471.38430592499</v>
      </c>
      <c r="E230" s="188">
        <f t="shared" ref="E230:F230" si="150">E202*E84</f>
        <v>547407.92252708622</v>
      </c>
      <c r="F230" s="188">
        <f t="shared" si="150"/>
        <v>532658.21013896063</v>
      </c>
      <c r="G230" s="189">
        <f>G202*G84</f>
        <v>354227.85442117183</v>
      </c>
    </row>
    <row r="231" spans="1:8" x14ac:dyDescent="0.4">
      <c r="A231" s="119" t="s">
        <v>406</v>
      </c>
      <c r="B231" s="186">
        <f t="shared" ref="B231:C231" si="151">B195*B116</f>
        <v>150363.78858292862</v>
      </c>
      <c r="C231" s="186">
        <f t="shared" si="151"/>
        <v>103725.47158845991</v>
      </c>
      <c r="D231" s="186">
        <f>D195*D116</f>
        <v>171548.14164286549</v>
      </c>
      <c r="E231" s="186">
        <f t="shared" ref="E231:F231" si="152">E195*E116</f>
        <v>154932.00138055245</v>
      </c>
      <c r="F231" s="186">
        <f t="shared" si="152"/>
        <v>33907.42327549959</v>
      </c>
      <c r="G231" s="187">
        <f>G195*G116</f>
        <v>138231.53207123547</v>
      </c>
    </row>
    <row r="232" spans="1:8" x14ac:dyDescent="0.4">
      <c r="A232" s="119" t="s">
        <v>408</v>
      </c>
      <c r="B232" s="186">
        <f t="shared" ref="B232:C232" si="153">(-B212+B51)*B117</f>
        <v>95232.622185815475</v>
      </c>
      <c r="C232" s="186">
        <f t="shared" si="153"/>
        <v>73371.953480084077</v>
      </c>
      <c r="D232" s="186">
        <f>(-D212+D51)*D117</f>
        <v>130940.65743557388</v>
      </c>
      <c r="E232" s="186">
        <f t="shared" ref="E232:F232" si="154">(-E212+E51)*E117</f>
        <v>94284.217599074022</v>
      </c>
      <c r="F232" s="186">
        <f t="shared" si="154"/>
        <v>45870.266897628419</v>
      </c>
      <c r="G232" s="187">
        <f>(-G212+G51)*G117</f>
        <v>70282.137460316357</v>
      </c>
    </row>
    <row r="233" spans="1:8" x14ac:dyDescent="0.4">
      <c r="A233" s="119" t="s">
        <v>410</v>
      </c>
      <c r="B233" s="186">
        <f t="shared" ref="B233:C233" si="155">B232-B231</f>
        <v>-55131.166397113149</v>
      </c>
      <c r="C233" s="186">
        <f t="shared" si="155"/>
        <v>-30353.518108375836</v>
      </c>
      <c r="D233" s="186">
        <f>D232-D231</f>
        <v>-40607.484207291607</v>
      </c>
      <c r="E233" s="186">
        <f t="shared" ref="E233:F233" si="156">E232-E231</f>
        <v>-60647.783781478429</v>
      </c>
      <c r="F233" s="186">
        <f t="shared" si="156"/>
        <v>11962.843622128828</v>
      </c>
      <c r="G233" s="187">
        <f>G232-G231</f>
        <v>-67949.394610919117</v>
      </c>
    </row>
    <row r="234" spans="1:8" x14ac:dyDescent="0.4">
      <c r="A234" s="119" t="s">
        <v>417</v>
      </c>
      <c r="B234" s="186">
        <f t="shared" ref="B234:C234" si="157">-B230+B233</f>
        <v>-689494.43836773641</v>
      </c>
      <c r="C234" s="186">
        <f t="shared" si="157"/>
        <v>-616832.75505674863</v>
      </c>
      <c r="D234" s="186">
        <f>-D230+D233</f>
        <v>-599078.86851321661</v>
      </c>
      <c r="E234" s="186">
        <f t="shared" ref="E234:F234" si="158">-E230+E233</f>
        <v>-608055.70630856464</v>
      </c>
      <c r="F234" s="186">
        <f t="shared" si="158"/>
        <v>-520695.3665168318</v>
      </c>
      <c r="G234" s="187">
        <f>-G230+G233</f>
        <v>-422177.24903209094</v>
      </c>
    </row>
    <row r="235" spans="1:8" x14ac:dyDescent="0.4">
      <c r="A235" s="119" t="s">
        <v>450</v>
      </c>
      <c r="B235" s="186">
        <f t="shared" ref="B235:C235" si="159">B234</f>
        <v>-689494.43836773641</v>
      </c>
      <c r="C235" s="186">
        <f t="shared" si="159"/>
        <v>-616832.75505674863</v>
      </c>
      <c r="D235" s="186">
        <f>D234</f>
        <v>-599078.86851321661</v>
      </c>
      <c r="E235" s="186">
        <f t="shared" ref="E235:F235" si="160">E234</f>
        <v>-608055.70630856464</v>
      </c>
      <c r="F235" s="186">
        <f t="shared" si="160"/>
        <v>-520695.3665168318</v>
      </c>
      <c r="G235" s="187">
        <f>G234/9*12</f>
        <v>-562902.99870945455</v>
      </c>
      <c r="H235" s="118">
        <f>G235</f>
        <v>-562902.99870945455</v>
      </c>
    </row>
    <row r="236" spans="1:8" x14ac:dyDescent="0.4">
      <c r="A236" s="119" t="s">
        <v>402</v>
      </c>
      <c r="B236" s="188">
        <f t="shared" ref="B236:C236" si="161">B202*B82</f>
        <v>235269.38857101378</v>
      </c>
      <c r="C236" s="188">
        <f t="shared" si="161"/>
        <v>172706.52927213791</v>
      </c>
      <c r="D236" s="188">
        <f>D202*D82</f>
        <v>189966.74001138404</v>
      </c>
      <c r="E236" s="188">
        <f t="shared" ref="E236:F236" si="162">E202*E82</f>
        <v>189211.24813847165</v>
      </c>
      <c r="F236" s="188">
        <f t="shared" si="162"/>
        <v>178772.65184455557</v>
      </c>
      <c r="G236" s="189">
        <f>G202*G82</f>
        <v>172854.58385990895</v>
      </c>
    </row>
    <row r="237" spans="1:8" x14ac:dyDescent="0.4">
      <c r="A237" s="119" t="s">
        <v>407</v>
      </c>
      <c r="B237" s="186">
        <f t="shared" ref="B237:C237" si="163">B195*B119</f>
        <v>480554.54053868406</v>
      </c>
      <c r="C237" s="186">
        <f t="shared" si="163"/>
        <v>525949.15593677911</v>
      </c>
      <c r="D237" s="186">
        <f>D195*D119</f>
        <v>581997.64684936893</v>
      </c>
      <c r="E237" s="186">
        <f t="shared" ref="E237:F237" si="164">E195*E119</f>
        <v>655634.35146815225</v>
      </c>
      <c r="F237" s="186">
        <f t="shared" si="164"/>
        <v>586257.60810370732</v>
      </c>
      <c r="G237" s="187">
        <f>G195*G119</f>
        <v>480013.75268469902</v>
      </c>
    </row>
    <row r="238" spans="1:8" x14ac:dyDescent="0.4">
      <c r="A238" s="119" t="s">
        <v>409</v>
      </c>
      <c r="B238" s="186">
        <f t="shared" ref="B238:C238" si="165">(-B212+B51)*B120</f>
        <v>304358.31279655889</v>
      </c>
      <c r="C238" s="186">
        <f t="shared" si="165"/>
        <v>372038.96411666158</v>
      </c>
      <c r="D238" s="186">
        <f>(-D212+D51)*D120</f>
        <v>444231.88601520302</v>
      </c>
      <c r="E238" s="186">
        <f t="shared" ref="E238:F238" si="166">(-E212+E51)*E120</f>
        <v>398987.75790945394</v>
      </c>
      <c r="F238" s="186">
        <f t="shared" si="166"/>
        <v>793094.56032636494</v>
      </c>
      <c r="G238" s="187">
        <f>(-G212+G51)*G120</f>
        <v>244057.14125806544</v>
      </c>
    </row>
    <row r="239" spans="1:8" x14ac:dyDescent="0.4">
      <c r="A239" s="119" t="s">
        <v>403</v>
      </c>
      <c r="B239" s="186">
        <f t="shared" ref="B239:C239" si="167">B238-B237</f>
        <v>-176196.22774212516</v>
      </c>
      <c r="C239" s="186">
        <f t="shared" si="167"/>
        <v>-153910.19182011753</v>
      </c>
      <c r="D239" s="186">
        <f>D238-D237</f>
        <v>-137765.76083416591</v>
      </c>
      <c r="E239" s="186">
        <f t="shared" ref="E239:F239" si="168">E238-E237</f>
        <v>-256646.59355869831</v>
      </c>
      <c r="F239" s="186">
        <f t="shared" si="168"/>
        <v>206836.95222265762</v>
      </c>
      <c r="G239" s="187">
        <f>G238-G237</f>
        <v>-235956.61142663358</v>
      </c>
    </row>
    <row r="240" spans="1:8" x14ac:dyDescent="0.4">
      <c r="A240" s="119" t="s">
        <v>399</v>
      </c>
      <c r="B240" s="186">
        <f t="shared" ref="B240:C240" si="169">-B236+B239</f>
        <v>-411465.61631313898</v>
      </c>
      <c r="C240" s="186">
        <f t="shared" si="169"/>
        <v>-326616.72109225544</v>
      </c>
      <c r="D240" s="186">
        <f>-D236+D239</f>
        <v>-327732.50084554998</v>
      </c>
      <c r="E240" s="186">
        <f t="shared" ref="E240:F240" si="170">-E236+E239</f>
        <v>-445857.84169716993</v>
      </c>
      <c r="F240" s="186">
        <f t="shared" si="170"/>
        <v>28064.300378102052</v>
      </c>
      <c r="G240" s="187">
        <f>-G236+G239</f>
        <v>-408811.19528654253</v>
      </c>
    </row>
    <row r="241" spans="1:10" x14ac:dyDescent="0.4">
      <c r="A241" s="119" t="s">
        <v>451</v>
      </c>
      <c r="B241" s="186">
        <f t="shared" ref="B241:C241" si="171">B240</f>
        <v>-411465.61631313898</v>
      </c>
      <c r="C241" s="186">
        <f t="shared" si="171"/>
        <v>-326616.72109225544</v>
      </c>
      <c r="D241" s="186">
        <f>D240</f>
        <v>-327732.50084554998</v>
      </c>
      <c r="E241" s="186">
        <f t="shared" ref="E241:F241" si="172">E240</f>
        <v>-445857.84169716993</v>
      </c>
      <c r="F241" s="186">
        <f t="shared" si="172"/>
        <v>28064.300378102052</v>
      </c>
      <c r="G241" s="187">
        <f>G240/9*12</f>
        <v>-545081.59371538996</v>
      </c>
    </row>
    <row r="242" spans="1:10" ht="21.6" thickBot="1" x14ac:dyDescent="0.45">
      <c r="A242" s="75" t="s">
        <v>289</v>
      </c>
      <c r="B242" s="142">
        <f t="shared" ref="B242:C242" si="173">B228+B235+B241</f>
        <v>-2647095.9429508243</v>
      </c>
      <c r="C242" s="142">
        <f t="shared" si="173"/>
        <v>-2377534.9498880478</v>
      </c>
      <c r="D242" s="142">
        <f>D228+D235+D241</f>
        <v>-2613082.5568509637</v>
      </c>
      <c r="E242" s="142">
        <f t="shared" ref="E242:F242" si="174">E228+E235+E241</f>
        <v>-2918324.0258343173</v>
      </c>
      <c r="F242" s="142">
        <f t="shared" si="174"/>
        <v>-1830465.7818192542</v>
      </c>
      <c r="G242" s="115">
        <f>G228+G235+G241</f>
        <v>-2922854.8329199813</v>
      </c>
    </row>
    <row r="243" spans="1:10" ht="21.6" thickBot="1" x14ac:dyDescent="0.45"/>
    <row r="244" spans="1:10" x14ac:dyDescent="0.4">
      <c r="A244" s="400" t="s">
        <v>418</v>
      </c>
      <c r="B244" s="401"/>
      <c r="C244" s="401"/>
      <c r="D244" s="402"/>
      <c r="E244" s="403"/>
      <c r="F244" s="403"/>
      <c r="G244" s="404"/>
    </row>
    <row r="245" spans="1:10" x14ac:dyDescent="0.4">
      <c r="A245" s="69" t="s">
        <v>419</v>
      </c>
      <c r="B245" s="190">
        <f t="shared" ref="B245:C245" si="175">B235</f>
        <v>-689494.43836773641</v>
      </c>
      <c r="C245" s="190">
        <f t="shared" si="175"/>
        <v>-616832.75505674863</v>
      </c>
      <c r="D245" s="190">
        <f>D235</f>
        <v>-599078.86851321661</v>
      </c>
      <c r="E245" s="190">
        <f t="shared" ref="E245:F245" si="176">E235</f>
        <v>-608055.70630856464</v>
      </c>
      <c r="F245" s="190">
        <f t="shared" si="176"/>
        <v>-520695.3665168318</v>
      </c>
      <c r="G245" s="191">
        <f>G235</f>
        <v>-562902.99870945455</v>
      </c>
      <c r="I245" s="196"/>
      <c r="J245" s="118"/>
    </row>
    <row r="246" spans="1:10" x14ac:dyDescent="0.4">
      <c r="A246" s="119" t="s">
        <v>131</v>
      </c>
      <c r="B246" s="186">
        <f t="shared" ref="B246:C246" si="177">B228</f>
        <v>-1546135.8882699488</v>
      </c>
      <c r="C246" s="186">
        <f t="shared" si="177"/>
        <v>-1434085.4737390438</v>
      </c>
      <c r="D246" s="186">
        <f>D228</f>
        <v>-1686271.1874921969</v>
      </c>
      <c r="E246" s="186">
        <f t="shared" ref="E246:F246" si="178">E228</f>
        <v>-1864410.4778285827</v>
      </c>
      <c r="F246" s="186">
        <f t="shared" si="178"/>
        <v>-1337834.7156805245</v>
      </c>
      <c r="G246" s="187">
        <f>G228</f>
        <v>-1814870.2404951369</v>
      </c>
      <c r="H246" s="118">
        <f>G246</f>
        <v>-1814870.2404951369</v>
      </c>
      <c r="J246" s="118"/>
    </row>
    <row r="247" spans="1:10" x14ac:dyDescent="0.4">
      <c r="A247" s="119" t="s">
        <v>419</v>
      </c>
      <c r="B247" s="192">
        <f t="shared" ref="B247:C247" si="179">B103</f>
        <v>20538</v>
      </c>
      <c r="C247" s="192">
        <f t="shared" si="179"/>
        <v>20613</v>
      </c>
      <c r="D247" s="192">
        <f>D103</f>
        <v>20415</v>
      </c>
      <c r="E247" s="192">
        <f t="shared" ref="E247:F247" si="180">E103</f>
        <v>21212</v>
      </c>
      <c r="F247" s="192">
        <f t="shared" si="180"/>
        <v>21373</v>
      </c>
      <c r="G247" s="193">
        <f>G103</f>
        <v>21212</v>
      </c>
    </row>
    <row r="248" spans="1:10" x14ac:dyDescent="0.4">
      <c r="A248" s="119" t="s">
        <v>131</v>
      </c>
      <c r="B248" s="192">
        <f t="shared" ref="B248:C248" si="181">B109</f>
        <v>11525</v>
      </c>
      <c r="C248" s="192">
        <f t="shared" si="181"/>
        <v>11530</v>
      </c>
      <c r="D248" s="192">
        <f>D109</f>
        <v>11296</v>
      </c>
      <c r="E248" s="192">
        <f t="shared" ref="E248:F248" si="182">E109</f>
        <v>11888</v>
      </c>
      <c r="F248" s="192">
        <f t="shared" si="182"/>
        <v>12002</v>
      </c>
      <c r="G248" s="193">
        <f>G109</f>
        <v>11888</v>
      </c>
    </row>
    <row r="249" spans="1:10" x14ac:dyDescent="0.4">
      <c r="A249" s="119" t="s">
        <v>420</v>
      </c>
      <c r="B249" s="192">
        <f t="shared" ref="B249:C249" si="183">B247-B248</f>
        <v>9013</v>
      </c>
      <c r="C249" s="192">
        <f t="shared" si="183"/>
        <v>9083</v>
      </c>
      <c r="D249" s="192">
        <f>D247-D248</f>
        <v>9119</v>
      </c>
      <c r="E249" s="192">
        <f t="shared" ref="E249:F249" si="184">E247-E248</f>
        <v>9324</v>
      </c>
      <c r="F249" s="192">
        <f t="shared" si="184"/>
        <v>9371</v>
      </c>
      <c r="G249" s="193">
        <f>G247-G248</f>
        <v>9324</v>
      </c>
      <c r="I249" s="118"/>
      <c r="J249" s="197"/>
    </row>
    <row r="250" spans="1:10" x14ac:dyDescent="0.4">
      <c r="A250" s="119" t="s">
        <v>419</v>
      </c>
      <c r="B250" s="194">
        <f>B249/B247</f>
        <v>0.4388450676794235</v>
      </c>
      <c r="C250" s="194">
        <f t="shared" ref="C250:G250" si="185">C249/C247</f>
        <v>0.44064425362635229</v>
      </c>
      <c r="D250" s="194">
        <f t="shared" si="185"/>
        <v>0.44668136174381584</v>
      </c>
      <c r="E250" s="194">
        <f t="shared" ref="E250:F250" si="186">E249/E247</f>
        <v>0.43956251178578165</v>
      </c>
      <c r="F250" s="194">
        <f t="shared" si="186"/>
        <v>0.43845038132222897</v>
      </c>
      <c r="G250" s="195">
        <f t="shared" si="185"/>
        <v>0.43956251178578165</v>
      </c>
      <c r="I250" s="118"/>
      <c r="J250" s="197"/>
    </row>
    <row r="251" spans="1:10" x14ac:dyDescent="0.4">
      <c r="A251" s="119" t="s">
        <v>131</v>
      </c>
      <c r="B251" s="194">
        <f>B248/B247</f>
        <v>0.56115493232057645</v>
      </c>
      <c r="C251" s="194">
        <f t="shared" ref="C251:G251" si="187">C248/C247</f>
        <v>0.55935574637364771</v>
      </c>
      <c r="D251" s="194">
        <f t="shared" si="187"/>
        <v>0.55331863825618421</v>
      </c>
      <c r="E251" s="194">
        <f t="shared" ref="E251:F251" si="188">E248/E247</f>
        <v>0.56043748821421835</v>
      </c>
      <c r="F251" s="194">
        <f t="shared" si="188"/>
        <v>0.56154961867777098</v>
      </c>
      <c r="G251" s="195">
        <f t="shared" si="187"/>
        <v>0.56043748821421835</v>
      </c>
    </row>
    <row r="252" spans="1:10" x14ac:dyDescent="0.4">
      <c r="A252" s="119"/>
      <c r="B252" s="217">
        <v>2021</v>
      </c>
      <c r="C252" s="217">
        <v>2022</v>
      </c>
      <c r="D252" s="78">
        <v>2023</v>
      </c>
      <c r="E252" s="78">
        <v>2024</v>
      </c>
      <c r="F252" s="78">
        <v>2025</v>
      </c>
      <c r="G252" s="81">
        <v>2024</v>
      </c>
    </row>
    <row r="253" spans="1:10" x14ac:dyDescent="0.4">
      <c r="A253" s="119" t="s">
        <v>422</v>
      </c>
      <c r="B253" s="190">
        <f t="shared" ref="B253:C253" si="189">B248*B245/B249</f>
        <v>-881662.42119029863</v>
      </c>
      <c r="C253" s="190">
        <f t="shared" si="189"/>
        <v>-783010.20211431372</v>
      </c>
      <c r="D253" s="190">
        <f>D248*D245/D249</f>
        <v>-742098.35494300851</v>
      </c>
      <c r="E253" s="190">
        <f t="shared" ref="E253:F253" si="190">E248*E245/E249</f>
        <v>-775264.50413944828</v>
      </c>
      <c r="F253" s="190">
        <f t="shared" si="190"/>
        <v>-666885.68871358619</v>
      </c>
      <c r="G253" s="349">
        <f>G248*G245/G249</f>
        <v>-717695.28621385619</v>
      </c>
      <c r="H253" s="118">
        <f>G246-H255</f>
        <v>-908114.07993209502</v>
      </c>
    </row>
    <row r="254" spans="1:10" x14ac:dyDescent="0.4">
      <c r="A254" s="119" t="s">
        <v>453</v>
      </c>
      <c r="B254" s="190">
        <f t="shared" ref="B254:D254" si="191">B245*B251/B250</f>
        <v>-881662.42119029863</v>
      </c>
      <c r="C254" s="190">
        <f t="shared" si="191"/>
        <v>-783010.20211431372</v>
      </c>
      <c r="D254" s="190">
        <f t="shared" si="191"/>
        <v>-742098.35494300863</v>
      </c>
      <c r="E254" s="190">
        <f t="shared" ref="E254:F254" si="192">E245*E251/E250</f>
        <v>-775264.50413944828</v>
      </c>
      <c r="F254" s="190">
        <f t="shared" si="192"/>
        <v>-666885.68871358607</v>
      </c>
      <c r="G254" s="349">
        <f>G245*G251/G250</f>
        <v>-717695.28621385619</v>
      </c>
    </row>
    <row r="255" spans="1:10" ht="21.6" thickBot="1" x14ac:dyDescent="0.45">
      <c r="A255" s="71" t="s">
        <v>421</v>
      </c>
      <c r="B255" s="198">
        <f t="shared" ref="B255:C255" si="193">B246-B253</f>
        <v>-664473.46707965015</v>
      </c>
      <c r="C255" s="198">
        <f t="shared" si="193"/>
        <v>-651075.27162473009</v>
      </c>
      <c r="D255" s="198">
        <f>D246-D253</f>
        <v>-944172.8325491884</v>
      </c>
      <c r="E255" s="198">
        <f t="shared" ref="E255:F255" si="194">E246-E253</f>
        <v>-1089145.9736891345</v>
      </c>
      <c r="F255" s="198">
        <f t="shared" si="194"/>
        <v>-670949.02696693828</v>
      </c>
      <c r="G255" s="199">
        <f>G246-G253</f>
        <v>-1097174.9542812807</v>
      </c>
      <c r="H255" s="118">
        <f>G255/1.21</f>
        <v>-906756.16056304192</v>
      </c>
    </row>
    <row r="256" spans="1:10" x14ac:dyDescent="0.4">
      <c r="A256" s="62" t="s">
        <v>475</v>
      </c>
      <c r="G256" s="468">
        <v>906756.2</v>
      </c>
    </row>
    <row r="257" spans="1:7" x14ac:dyDescent="0.4">
      <c r="A257" s="62" t="s">
        <v>476</v>
      </c>
      <c r="F257" s="470">
        <f>G256+E255+F255</f>
        <v>-853338.8006560728</v>
      </c>
      <c r="G257" s="468"/>
    </row>
    <row r="258" spans="1:7" ht="21.6" thickBot="1" x14ac:dyDescent="0.45">
      <c r="A258" s="62" t="s">
        <v>477</v>
      </c>
      <c r="F258" s="470">
        <f>F257*1.21</f>
        <v>-1032539.948793848</v>
      </c>
      <c r="G258" s="468"/>
    </row>
    <row r="259" spans="1:7" x14ac:dyDescent="0.4">
      <c r="A259" s="400" t="s">
        <v>424</v>
      </c>
      <c r="B259" s="401"/>
      <c r="C259" s="401"/>
      <c r="D259" s="402"/>
      <c r="E259" s="403"/>
      <c r="F259" s="403"/>
      <c r="G259" s="404"/>
    </row>
    <row r="260" spans="1:7" x14ac:dyDescent="0.4">
      <c r="A260" s="69"/>
      <c r="B260" s="217">
        <v>2021</v>
      </c>
      <c r="C260" s="217">
        <v>2022</v>
      </c>
      <c r="D260" s="78">
        <v>2023</v>
      </c>
      <c r="E260" s="78">
        <v>2024</v>
      </c>
      <c r="F260" s="78">
        <v>2025</v>
      </c>
      <c r="G260" s="81">
        <v>2024</v>
      </c>
    </row>
    <row r="261" spans="1:7" x14ac:dyDescent="0.4">
      <c r="A261" s="155" t="s">
        <v>341</v>
      </c>
      <c r="B261" s="123">
        <v>530</v>
      </c>
      <c r="C261" s="123">
        <v>548</v>
      </c>
      <c r="D261" s="123">
        <v>641</v>
      </c>
      <c r="E261" s="123">
        <v>681</v>
      </c>
      <c r="F261" s="123">
        <v>723</v>
      </c>
      <c r="G261" s="124">
        <v>681</v>
      </c>
    </row>
    <row r="262" spans="1:7" x14ac:dyDescent="0.4">
      <c r="A262" s="105" t="s">
        <v>425</v>
      </c>
      <c r="B262" s="122">
        <f t="shared" ref="B262:C262" si="195">-(B228+B235)/B102</f>
        <v>38.120764018648934</v>
      </c>
      <c r="C262" s="122">
        <f t="shared" si="195"/>
        <v>34.929460944134348</v>
      </c>
      <c r="D262" s="122">
        <f>-(D228+D235)/D102</f>
        <v>38.991163174868859</v>
      </c>
      <c r="E262" s="125">
        <f>-(E235+E253+E255+G256)/E102</f>
        <v>25.951137588668679</v>
      </c>
      <c r="F262" s="125">
        <f>-(F235+F253+F255-F257)/F102</f>
        <v>16.588957347943417</v>
      </c>
      <c r="G262" s="125">
        <f>-(G235+G253+G255+G256)/G102</f>
        <v>24.381632592521367</v>
      </c>
    </row>
    <row r="263" spans="1:7" ht="21.6" thickBot="1" x14ac:dyDescent="0.45"/>
    <row r="264" spans="1:7" x14ac:dyDescent="0.4">
      <c r="A264" s="400" t="s">
        <v>440</v>
      </c>
      <c r="B264" s="401"/>
      <c r="C264" s="401"/>
      <c r="D264" s="402"/>
      <c r="E264" s="403"/>
      <c r="F264" s="403"/>
      <c r="G264" s="404"/>
    </row>
    <row r="265" spans="1:7" x14ac:dyDescent="0.4">
      <c r="A265" s="69" t="s">
        <v>439</v>
      </c>
      <c r="B265" s="204"/>
      <c r="C265" s="204"/>
      <c r="D265" s="112"/>
      <c r="E265" s="365"/>
      <c r="F265" s="365"/>
      <c r="G265" s="113">
        <f>-G241</f>
        <v>545081.59371538996</v>
      </c>
    </row>
    <row r="266" spans="1:7" x14ac:dyDescent="0.4">
      <c r="A266" s="69" t="s">
        <v>437</v>
      </c>
      <c r="B266" s="204"/>
      <c r="C266" s="204"/>
      <c r="D266" s="95"/>
      <c r="E266" s="363"/>
      <c r="F266" s="363"/>
      <c r="G266" s="96">
        <f>G121</f>
        <v>406.60599999999999</v>
      </c>
    </row>
    <row r="267" spans="1:7" x14ac:dyDescent="0.4">
      <c r="A267" s="69" t="s">
        <v>436</v>
      </c>
      <c r="B267" s="204"/>
      <c r="C267" s="204"/>
      <c r="D267" s="67"/>
      <c r="E267" s="360"/>
      <c r="F267" s="360"/>
      <c r="G267" s="96">
        <f>G266/9*12</f>
        <v>542.14133333333336</v>
      </c>
    </row>
    <row r="268" spans="1:7" x14ac:dyDescent="0.4">
      <c r="A268" s="69" t="s">
        <v>438</v>
      </c>
      <c r="B268" s="204"/>
      <c r="C268" s="204"/>
      <c r="D268" s="103"/>
      <c r="E268" s="361"/>
      <c r="F268" s="361"/>
      <c r="G268" s="104">
        <f>G265/G267</f>
        <v>1005.4234204279879</v>
      </c>
    </row>
    <row r="269" spans="1:7" x14ac:dyDescent="0.4">
      <c r="A269" s="69" t="s">
        <v>87</v>
      </c>
      <c r="B269" s="204"/>
      <c r="C269" s="204"/>
      <c r="D269" s="88">
        <v>0.1</v>
      </c>
      <c r="E269" s="373"/>
      <c r="F269" s="373"/>
      <c r="G269" s="104">
        <f>G268*D269+G268</f>
        <v>1105.9657624707868</v>
      </c>
    </row>
    <row r="270" spans="1:7" x14ac:dyDescent="0.4">
      <c r="A270" s="69" t="s">
        <v>435</v>
      </c>
      <c r="B270" s="204"/>
      <c r="C270" s="204"/>
      <c r="D270" s="88">
        <v>0.06</v>
      </c>
      <c r="E270" s="373"/>
      <c r="F270" s="373"/>
      <c r="G270" s="104">
        <f>D270*G269+G269</f>
        <v>1172.323708219034</v>
      </c>
    </row>
    <row r="271" spans="1:7" x14ac:dyDescent="0.4">
      <c r="A271" s="405" t="s">
        <v>442</v>
      </c>
      <c r="B271" s="406"/>
      <c r="C271" s="406"/>
      <c r="D271" s="407"/>
      <c r="E271" s="388"/>
      <c r="F271" s="388"/>
      <c r="G271" s="411">
        <f>G270</f>
        <v>1172.323708219034</v>
      </c>
    </row>
    <row r="272" spans="1:7" ht="21.6" thickBot="1" x14ac:dyDescent="0.45">
      <c r="A272" s="408"/>
      <c r="B272" s="409"/>
      <c r="C272" s="409"/>
      <c r="D272" s="410"/>
      <c r="E272" s="389"/>
      <c r="F272" s="389"/>
      <c r="G272" s="412"/>
    </row>
    <row r="275" spans="1:9" x14ac:dyDescent="0.4">
      <c r="A275" s="399" t="s">
        <v>454</v>
      </c>
      <c r="B275" s="399"/>
      <c r="C275" s="399"/>
      <c r="D275" s="399"/>
      <c r="E275" s="399"/>
      <c r="F275" s="399"/>
      <c r="G275" s="399"/>
    </row>
    <row r="276" spans="1:9" x14ac:dyDescent="0.4">
      <c r="G276" s="62">
        <v>2024</v>
      </c>
    </row>
    <row r="277" spans="1:9" x14ac:dyDescent="0.4">
      <c r="A277" s="62" t="s">
        <v>457</v>
      </c>
      <c r="B277" s="62" t="s">
        <v>466</v>
      </c>
      <c r="G277" s="65">
        <v>9397</v>
      </c>
    </row>
    <row r="278" spans="1:9" x14ac:dyDescent="0.4">
      <c r="A278" s="62" t="s">
        <v>456</v>
      </c>
      <c r="B278" s="62" t="s">
        <v>466</v>
      </c>
      <c r="G278" s="65">
        <v>8116</v>
      </c>
      <c r="I278" s="352"/>
    </row>
    <row r="279" spans="1:9" x14ac:dyDescent="0.4">
      <c r="A279" s="62" t="s">
        <v>458</v>
      </c>
      <c r="B279" s="62" t="s">
        <v>466</v>
      </c>
      <c r="G279" s="65">
        <v>3193</v>
      </c>
      <c r="I279" s="352"/>
    </row>
    <row r="280" spans="1:9" x14ac:dyDescent="0.4">
      <c r="A280" s="62" t="s">
        <v>459</v>
      </c>
      <c r="B280" s="62" t="s">
        <v>465</v>
      </c>
      <c r="G280" s="350">
        <f>63714+19981+14155</f>
        <v>97850</v>
      </c>
    </row>
    <row r="281" spans="1:9" x14ac:dyDescent="0.4">
      <c r="A281" s="62" t="s">
        <v>460</v>
      </c>
      <c r="B281" s="62" t="s">
        <v>465</v>
      </c>
      <c r="G281" s="350">
        <f>G280*G278/G277</f>
        <v>84511.078003618182</v>
      </c>
    </row>
    <row r="282" spans="1:9" x14ac:dyDescent="0.4">
      <c r="A282" s="62" t="s">
        <v>455</v>
      </c>
      <c r="B282" s="62" t="s">
        <v>465</v>
      </c>
      <c r="G282" s="350">
        <f>26268-260+5317</f>
        <v>31325</v>
      </c>
    </row>
    <row r="283" spans="1:9" x14ac:dyDescent="0.4">
      <c r="A283" s="62" t="s">
        <v>463</v>
      </c>
      <c r="B283" s="62" t="s">
        <v>465</v>
      </c>
      <c r="G283" s="62">
        <f>520+130</f>
        <v>650</v>
      </c>
    </row>
    <row r="284" spans="1:9" x14ac:dyDescent="0.4">
      <c r="A284" s="62" t="s">
        <v>464</v>
      </c>
      <c r="B284" s="62" t="s">
        <v>465</v>
      </c>
      <c r="G284" s="62">
        <v>308</v>
      </c>
    </row>
    <row r="285" spans="1:9" x14ac:dyDescent="0.4">
      <c r="A285" s="62" t="s">
        <v>467</v>
      </c>
      <c r="G285" s="352">
        <f>G278/($G$278+$G$279)</f>
        <v>0.71765850207799098</v>
      </c>
    </row>
    <row r="286" spans="1:9" x14ac:dyDescent="0.4">
      <c r="G286" s="352">
        <f>G279/($G$278+$G$279)</f>
        <v>0.28234149792200902</v>
      </c>
    </row>
  </sheetData>
  <mergeCells count="38">
    <mergeCell ref="A196:G196"/>
    <mergeCell ref="A140:G140"/>
    <mergeCell ref="A145:G145"/>
    <mergeCell ref="A153:G153"/>
    <mergeCell ref="A105:G105"/>
    <mergeCell ref="A111:G111"/>
    <mergeCell ref="A124:G124"/>
    <mergeCell ref="A131:G131"/>
    <mergeCell ref="A52:G52"/>
    <mergeCell ref="A58:A59"/>
    <mergeCell ref="A162:G162"/>
    <mergeCell ref="A173:G173"/>
    <mergeCell ref="A188:G188"/>
    <mergeCell ref="A65:G65"/>
    <mergeCell ref="A76:G76"/>
    <mergeCell ref="A86:G86"/>
    <mergeCell ref="A94:G94"/>
    <mergeCell ref="G6:H6"/>
    <mergeCell ref="A15:G15"/>
    <mergeCell ref="A16:G16"/>
    <mergeCell ref="A22:G22"/>
    <mergeCell ref="A32:G32"/>
    <mergeCell ref="A275:G275"/>
    <mergeCell ref="A264:G264"/>
    <mergeCell ref="A271:D272"/>
    <mergeCell ref="G271:G272"/>
    <mergeCell ref="A41:G41"/>
    <mergeCell ref="A244:G244"/>
    <mergeCell ref="A259:G259"/>
    <mergeCell ref="A226:G226"/>
    <mergeCell ref="A222:G222"/>
    <mergeCell ref="A204:G204"/>
    <mergeCell ref="A216:G216"/>
    <mergeCell ref="A43:A44"/>
    <mergeCell ref="A45:A46"/>
    <mergeCell ref="A47:A48"/>
    <mergeCell ref="A54:A55"/>
    <mergeCell ref="A56:A57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C08D-346F-4986-BFAD-02AAD380E26D}">
  <dimension ref="A1:H60"/>
  <sheetViews>
    <sheetView zoomScale="98" workbookViewId="0">
      <selection activeCell="E12" sqref="E12"/>
    </sheetView>
  </sheetViews>
  <sheetFormatPr defaultColWidth="9.109375" defaultRowHeight="21" x14ac:dyDescent="0.4"/>
  <cols>
    <col min="1" max="1" width="45.6640625" style="62" customWidth="1"/>
    <col min="2" max="8" width="19.88671875" style="62" customWidth="1"/>
    <col min="9" max="16384" width="9.109375" style="62"/>
  </cols>
  <sheetData>
    <row r="1" spans="1:8" ht="25.8" thickBot="1" x14ac:dyDescent="0.5">
      <c r="A1" s="415" t="str">
        <f>Základy!A15</f>
        <v>NÁKLADOVÉ A VÝNOSOVÉ VÝPOČTY</v>
      </c>
      <c r="B1" s="415"/>
      <c r="C1" s="415"/>
      <c r="D1" s="415"/>
      <c r="E1" s="415"/>
      <c r="F1" s="415"/>
      <c r="G1" s="415"/>
      <c r="H1" s="366"/>
    </row>
    <row r="2" spans="1:8" x14ac:dyDescent="0.4">
      <c r="A2" s="400" t="str">
        <f>Základy!A16</f>
        <v>Výpočet procenta režie</v>
      </c>
      <c r="B2" s="401"/>
      <c r="C2" s="401"/>
      <c r="D2" s="402"/>
      <c r="E2" s="403"/>
      <c r="F2" s="403"/>
      <c r="G2" s="404"/>
      <c r="H2" s="367"/>
    </row>
    <row r="3" spans="1:8" x14ac:dyDescent="0.4">
      <c r="A3" s="72"/>
      <c r="B3" s="73">
        <f>Základy!B17</f>
        <v>2021</v>
      </c>
      <c r="C3" s="73">
        <f>Základy!C17</f>
        <v>2022</v>
      </c>
      <c r="D3" s="73">
        <f>Základy!D17</f>
        <v>2023</v>
      </c>
      <c r="E3" s="353">
        <v>2024</v>
      </c>
      <c r="F3" s="353" t="s">
        <v>468</v>
      </c>
      <c r="G3" s="74" t="str">
        <f>Základy!G17</f>
        <v>1.-9.2024</v>
      </c>
      <c r="H3" s="367"/>
    </row>
    <row r="4" spans="1:8" x14ac:dyDescent="0.4">
      <c r="A4" s="69" t="str">
        <f>Základy!A18</f>
        <v>Náklady celkem</v>
      </c>
      <c r="B4" s="68">
        <f>Základy!B18</f>
        <v>73346254</v>
      </c>
      <c r="C4" s="68">
        <f>Základy!C18</f>
        <v>81867310</v>
      </c>
      <c r="D4" s="68">
        <f>Základy!D18</f>
        <v>90483384.060000002</v>
      </c>
      <c r="E4" s="354">
        <v>102468</v>
      </c>
      <c r="F4" s="354"/>
      <c r="G4" s="70">
        <f>Základy!G18</f>
        <v>72241197.25</v>
      </c>
      <c r="H4" s="64"/>
    </row>
    <row r="5" spans="1:8" x14ac:dyDescent="0.4">
      <c r="A5" s="69" t="str">
        <f>Základy!A19</f>
        <v>Režie</v>
      </c>
      <c r="B5" s="68">
        <f>Základy!B19</f>
        <v>16975158</v>
      </c>
      <c r="C5" s="68">
        <f>Základy!C19</f>
        <v>18989362</v>
      </c>
      <c r="D5" s="68">
        <f>Základy!D19</f>
        <v>22555224.389999997</v>
      </c>
      <c r="E5" s="354"/>
      <c r="F5" s="354"/>
      <c r="G5" s="70">
        <f>Základy!G19</f>
        <v>17702606.480000004</v>
      </c>
      <c r="H5" s="64"/>
    </row>
    <row r="6" spans="1:8" ht="21.6" thickBot="1" x14ac:dyDescent="0.45">
      <c r="A6" s="75" t="str">
        <f>Základy!A20</f>
        <v>Režie</v>
      </c>
      <c r="B6" s="76">
        <f>Základy!B20</f>
        <v>0.23143864988660498</v>
      </c>
      <c r="C6" s="76">
        <f>Základy!C20</f>
        <v>0.23195292479989876</v>
      </c>
      <c r="D6" s="76">
        <f>Základy!D20</f>
        <v>0.24927476601718954</v>
      </c>
      <c r="E6" s="355"/>
      <c r="F6" s="355"/>
      <c r="G6" s="77">
        <f>Základy!G20</f>
        <v>0.24504863089045778</v>
      </c>
      <c r="H6" s="368"/>
    </row>
    <row r="7" spans="1:8" ht="21.6" hidden="1" thickBot="1" x14ac:dyDescent="0.45">
      <c r="A7" s="135">
        <f>Základy!A21</f>
        <v>0</v>
      </c>
      <c r="B7" s="205"/>
      <c r="C7" s="205"/>
      <c r="D7" s="136">
        <f>Základy!D21</f>
        <v>0</v>
      </c>
      <c r="E7" s="356"/>
      <c r="F7" s="356"/>
      <c r="G7" s="137">
        <f>Základy!G21</f>
        <v>0</v>
      </c>
      <c r="H7" s="368"/>
    </row>
    <row r="8" spans="1:8" x14ac:dyDescent="0.4">
      <c r="A8" s="400" t="str">
        <f>Základy!A22</f>
        <v>Výpočet nákladů na km kontejnerového vozidla s vlekem</v>
      </c>
      <c r="B8" s="401"/>
      <c r="C8" s="401"/>
      <c r="D8" s="402"/>
      <c r="E8" s="403"/>
      <c r="F8" s="403"/>
      <c r="G8" s="404"/>
      <c r="H8" s="367"/>
    </row>
    <row r="9" spans="1:8" x14ac:dyDescent="0.4">
      <c r="A9" s="69"/>
      <c r="B9" s="78">
        <f>Základy!B23</f>
        <v>2021</v>
      </c>
      <c r="C9" s="78">
        <f>Základy!C23</f>
        <v>2022</v>
      </c>
      <c r="D9" s="78">
        <f>Základy!D23</f>
        <v>2023</v>
      </c>
      <c r="E9" s="218">
        <v>2024</v>
      </c>
      <c r="F9" s="218" t="s">
        <v>468</v>
      </c>
      <c r="G9" s="81" t="str">
        <f>Základy!G23</f>
        <v>1.-9.2024</v>
      </c>
      <c r="H9" s="367"/>
    </row>
    <row r="10" spans="1:8" x14ac:dyDescent="0.4">
      <c r="A10" s="69" t="str">
        <f>Základy!A24</f>
        <v>Najeté kilometry kontejnerka</v>
      </c>
      <c r="B10" s="79">
        <f>Základy!B24</f>
        <v>84011</v>
      </c>
      <c r="C10" s="79">
        <f>Základy!C24</f>
        <v>77309</v>
      </c>
      <c r="D10" s="79">
        <f>Základy!D24</f>
        <v>70404</v>
      </c>
      <c r="E10" s="357">
        <v>80890</v>
      </c>
      <c r="F10" s="357"/>
      <c r="G10" s="82">
        <f>Základy!G24</f>
        <v>49810</v>
      </c>
      <c r="H10" s="350"/>
    </row>
    <row r="11" spans="1:8" x14ac:dyDescent="0.4">
      <c r="A11" s="69" t="str">
        <f>Základy!A25</f>
        <v>Náklady kontejnerka</v>
      </c>
      <c r="B11" s="68">
        <f>Základy!B25</f>
        <v>4674082</v>
      </c>
      <c r="C11" s="68">
        <f>Základy!C25</f>
        <v>4129427</v>
      </c>
      <c r="D11" s="68">
        <f>Základy!D25</f>
        <v>3774146</v>
      </c>
      <c r="E11" s="354"/>
      <c r="F11" s="354"/>
      <c r="G11" s="70">
        <f>Základy!G25</f>
        <v>2880652</v>
      </c>
      <c r="H11" s="64"/>
    </row>
    <row r="12" spans="1:8" x14ac:dyDescent="0.4">
      <c r="A12" s="69" t="str">
        <f>Základy!A26</f>
        <v>Náklad na km kontejnerka</v>
      </c>
      <c r="B12" s="80">
        <f>Základy!B26</f>
        <v>55.636547594957804</v>
      </c>
      <c r="C12" s="80">
        <f>Základy!C26</f>
        <v>53.414570101799271</v>
      </c>
      <c r="D12" s="80">
        <f>Základy!D26</f>
        <v>53.606982557809218</v>
      </c>
      <c r="E12" s="358"/>
      <c r="F12" s="358"/>
      <c r="G12" s="83">
        <f>Základy!G26</f>
        <v>57.832804657699256</v>
      </c>
      <c r="H12" s="369"/>
    </row>
    <row r="13" spans="1:8" x14ac:dyDescent="0.4">
      <c r="A13" s="69" t="str">
        <f>Základy!A27</f>
        <v>Najeté kilometry vleky</v>
      </c>
      <c r="B13" s="79">
        <f>Základy!B27</f>
        <v>52612</v>
      </c>
      <c r="C13" s="79">
        <f>Základy!C27</f>
        <v>47185</v>
      </c>
      <c r="D13" s="79">
        <f>Základy!D27</f>
        <v>36168</v>
      </c>
      <c r="E13" s="357"/>
      <c r="F13" s="357"/>
      <c r="G13" s="82">
        <f>Základy!G27</f>
        <v>25888</v>
      </c>
      <c r="H13" s="350"/>
    </row>
    <row r="14" spans="1:8" x14ac:dyDescent="0.4">
      <c r="A14" s="69" t="str">
        <f>Základy!A28</f>
        <v>Náklad vleky</v>
      </c>
      <c r="B14" s="68">
        <f>Základy!B28</f>
        <v>247915</v>
      </c>
      <c r="C14" s="68">
        <f>Základy!C28</f>
        <v>309346</v>
      </c>
      <c r="D14" s="68">
        <f>Základy!D28</f>
        <v>311757</v>
      </c>
      <c r="E14" s="354"/>
      <c r="F14" s="354"/>
      <c r="G14" s="70">
        <f>Základy!G28</f>
        <v>242749</v>
      </c>
      <c r="H14" s="64"/>
    </row>
    <row r="15" spans="1:8" x14ac:dyDescent="0.4">
      <c r="A15" s="69" t="str">
        <f>Základy!A29</f>
        <v>Náklad na km vleky</v>
      </c>
      <c r="B15" s="80">
        <f>Základy!B29</f>
        <v>4.7121379153044929</v>
      </c>
      <c r="C15" s="80">
        <f>Základy!C29</f>
        <v>6.5560241602204092</v>
      </c>
      <c r="D15" s="80">
        <f>Základy!D29</f>
        <v>8.619691439946914</v>
      </c>
      <c r="E15" s="358"/>
      <c r="F15" s="358"/>
      <c r="G15" s="83">
        <f>Základy!G29</f>
        <v>9.376892768850432</v>
      </c>
      <c r="H15" s="369"/>
    </row>
    <row r="16" spans="1:8" x14ac:dyDescent="0.4">
      <c r="A16" s="69" t="str">
        <f>Základy!A30</f>
        <v>Celkem</v>
      </c>
      <c r="B16" s="80">
        <f>Základy!B30</f>
        <v>60.3486855102623</v>
      </c>
      <c r="C16" s="80">
        <f>Základy!C30</f>
        <v>59.970594262019681</v>
      </c>
      <c r="D16" s="80">
        <f>Základy!D30</f>
        <v>62.22667399775613</v>
      </c>
      <c r="E16" s="358"/>
      <c r="F16" s="358"/>
      <c r="G16" s="83">
        <f>Základy!G30</f>
        <v>67.209697426549695</v>
      </c>
      <c r="H16" s="369"/>
    </row>
    <row r="17" spans="1:8" ht="21.6" thickBot="1" x14ac:dyDescent="0.45">
      <c r="A17" s="75" t="str">
        <f>Základy!A31</f>
        <v>Náklad dopravu vláčky včetně režie</v>
      </c>
      <c r="B17" s="84">
        <f>Základy!B31</f>
        <v>74.315703807188726</v>
      </c>
      <c r="C17" s="84">
        <f>Základy!C31</f>
        <v>73.880949003083174</v>
      </c>
      <c r="D17" s="84">
        <f>Základy!D31</f>
        <v>77.738213598574717</v>
      </c>
      <c r="E17" s="359"/>
      <c r="F17" s="359"/>
      <c r="G17" s="85">
        <f>Základy!G31</f>
        <v>83.679341763487628</v>
      </c>
      <c r="H17" s="370"/>
    </row>
    <row r="18" spans="1:8" x14ac:dyDescent="0.4">
      <c r="A18" s="400" t="str">
        <f>Základy!A32</f>
        <v>Výpočet nákladů na  drcení a likvidaci</v>
      </c>
      <c r="B18" s="401"/>
      <c r="C18" s="401"/>
      <c r="D18" s="402"/>
      <c r="E18" s="403"/>
      <c r="F18" s="403"/>
      <c r="G18" s="404"/>
      <c r="H18" s="367"/>
    </row>
    <row r="19" spans="1:8" x14ac:dyDescent="0.4">
      <c r="A19" s="69"/>
      <c r="B19" s="78">
        <f>Základy!B33</f>
        <v>2021</v>
      </c>
      <c r="C19" s="78">
        <f>Základy!C33</f>
        <v>2022</v>
      </c>
      <c r="D19" s="78">
        <f>Základy!D33</f>
        <v>2023</v>
      </c>
      <c r="E19" s="218"/>
      <c r="F19" s="218"/>
      <c r="G19" s="81">
        <f>Základy!G33</f>
        <v>2024</v>
      </c>
      <c r="H19" s="367"/>
    </row>
    <row r="20" spans="1:8" hidden="1" x14ac:dyDescent="0.4">
      <c r="A20" s="69" t="str">
        <f>Základy!A34</f>
        <v>Náklady separace</v>
      </c>
      <c r="B20" s="67">
        <f>Základy!B34</f>
        <v>0</v>
      </c>
      <c r="C20" s="67">
        <f>Základy!C34</f>
        <v>0</v>
      </c>
      <c r="D20" s="67">
        <f>Základy!D34</f>
        <v>0</v>
      </c>
      <c r="E20" s="360"/>
      <c r="F20" s="360"/>
      <c r="G20" s="86">
        <f>Základy!G34</f>
        <v>0</v>
      </c>
    </row>
    <row r="21" spans="1:8" x14ac:dyDescent="0.4">
      <c r="A21" s="69" t="str">
        <f>Základy!A35</f>
        <v>Drcení</v>
      </c>
      <c r="B21" s="103">
        <f>Základy!B35</f>
        <v>0</v>
      </c>
      <c r="C21" s="103">
        <f>Základy!C35</f>
        <v>0</v>
      </c>
      <c r="D21" s="103">
        <f>Základy!D35</f>
        <v>1200</v>
      </c>
      <c r="E21" s="361"/>
      <c r="F21" s="361"/>
      <c r="G21" s="104">
        <f>Základy!G35</f>
        <v>1200</v>
      </c>
      <c r="H21" s="371"/>
    </row>
    <row r="22" spans="1:8" x14ac:dyDescent="0.4">
      <c r="A22" s="69" t="str">
        <f>Základy!A36</f>
        <v>Doprava do cementárny</v>
      </c>
      <c r="B22" s="103">
        <f>Základy!B36</f>
        <v>500</v>
      </c>
      <c r="C22" s="103">
        <f>Základy!C36</f>
        <v>500</v>
      </c>
      <c r="D22" s="103">
        <f>Základy!D36</f>
        <v>600</v>
      </c>
      <c r="E22" s="361"/>
      <c r="F22" s="361"/>
      <c r="G22" s="104">
        <f>Základy!G36</f>
        <v>600</v>
      </c>
      <c r="H22" s="371"/>
    </row>
    <row r="23" spans="1:8" x14ac:dyDescent="0.4">
      <c r="A23" s="69" t="str">
        <f>Základy!A37</f>
        <v>Likvidace v cementárně</v>
      </c>
      <c r="B23" s="103">
        <f>Základy!B37</f>
        <v>800</v>
      </c>
      <c r="C23" s="103">
        <f>Základy!C37</f>
        <v>800</v>
      </c>
      <c r="D23" s="103">
        <f>Základy!D37</f>
        <v>1000</v>
      </c>
      <c r="E23" s="361"/>
      <c r="F23" s="361"/>
      <c r="G23" s="104">
        <f>Základy!G37</f>
        <v>1200</v>
      </c>
      <c r="H23" s="371"/>
    </row>
    <row r="24" spans="1:8" x14ac:dyDescent="0.4">
      <c r="A24" s="69" t="str">
        <f>Základy!A38</f>
        <v>nakládka</v>
      </c>
      <c r="B24" s="103">
        <f>Základy!B38</f>
        <v>200</v>
      </c>
      <c r="C24" s="103">
        <f>Základy!C38</f>
        <v>200</v>
      </c>
      <c r="D24" s="103">
        <f>Základy!D38</f>
        <v>200</v>
      </c>
      <c r="E24" s="361"/>
      <c r="F24" s="361"/>
      <c r="G24" s="104">
        <f>Základy!G38</f>
        <v>200</v>
      </c>
      <c r="H24" s="371"/>
    </row>
    <row r="25" spans="1:8" x14ac:dyDescent="0.4">
      <c r="A25" s="69" t="str">
        <f>Základy!A39</f>
        <v>Celkem</v>
      </c>
      <c r="B25" s="103">
        <f>Základy!B39</f>
        <v>1500</v>
      </c>
      <c r="C25" s="103">
        <f>Základy!C39</f>
        <v>1500</v>
      </c>
      <c r="D25" s="103">
        <f>Základy!D39</f>
        <v>3000</v>
      </c>
      <c r="E25" s="361"/>
      <c r="F25" s="361"/>
      <c r="G25" s="104">
        <f>Základy!G39</f>
        <v>3200</v>
      </c>
      <c r="H25" s="371"/>
    </row>
    <row r="26" spans="1:8" ht="21.6" thickBot="1" x14ac:dyDescent="0.45">
      <c r="A26" s="75" t="str">
        <f>Základy!A40</f>
        <v>Náklady včetně režie</v>
      </c>
      <c r="B26" s="108">
        <f>Základy!B40</f>
        <v>1847.1579748299075</v>
      </c>
      <c r="C26" s="108">
        <f>Základy!C40</f>
        <v>1847.9293871998482</v>
      </c>
      <c r="D26" s="108">
        <f>Základy!D40</f>
        <v>3747.8242980515688</v>
      </c>
      <c r="E26" s="362"/>
      <c r="F26" s="362"/>
      <c r="G26" s="109">
        <f>Základy!G40</f>
        <v>3984.1556188494651</v>
      </c>
      <c r="H26" s="372"/>
    </row>
    <row r="27" spans="1:8" x14ac:dyDescent="0.4">
      <c r="A27" s="400" t="str">
        <f>Základy!A41</f>
        <v>Výpočet výnosu z likvidace odpadů na překladišti</v>
      </c>
      <c r="B27" s="401"/>
      <c r="C27" s="401"/>
      <c r="D27" s="402"/>
      <c r="E27" s="403"/>
      <c r="F27" s="403"/>
      <c r="G27" s="404"/>
      <c r="H27" s="367"/>
    </row>
    <row r="28" spans="1:8" x14ac:dyDescent="0.4">
      <c r="A28" s="69"/>
      <c r="B28" s="204"/>
      <c r="C28" s="204"/>
      <c r="D28" s="78">
        <f>Základy!D42</f>
        <v>2023</v>
      </c>
      <c r="E28" s="218"/>
      <c r="F28" s="218"/>
      <c r="G28" s="81" t="str">
        <f>Základy!G42</f>
        <v>1.-9.2024</v>
      </c>
      <c r="H28" s="367"/>
    </row>
    <row r="29" spans="1:8" x14ac:dyDescent="0.4">
      <c r="A29" s="413" t="str">
        <f>Základy!A43</f>
        <v>Skládka</v>
      </c>
      <c r="B29" s="95">
        <f>Základy!B43</f>
        <v>1211</v>
      </c>
      <c r="C29" s="95">
        <f>Základy!C43</f>
        <v>992</v>
      </c>
      <c r="D29" s="95">
        <f>Základy!D43</f>
        <v>735</v>
      </c>
      <c r="E29" s="363"/>
      <c r="F29" s="363"/>
      <c r="G29" s="96">
        <f>Základy!G43</f>
        <v>686</v>
      </c>
      <c r="H29" s="65"/>
    </row>
    <row r="30" spans="1:8" x14ac:dyDescent="0.4">
      <c r="A30" s="414"/>
      <c r="B30" s="68">
        <f>Základy!B44</f>
        <v>620487.32131781569</v>
      </c>
      <c r="C30" s="68">
        <f>Základy!C44</f>
        <v>538476.27380399778</v>
      </c>
      <c r="D30" s="68">
        <f>Základy!D44</f>
        <v>456247.72915593704</v>
      </c>
      <c r="E30" s="354"/>
      <c r="F30" s="354"/>
      <c r="G30" s="70">
        <f>Základy!G44</f>
        <v>684067.64617751457</v>
      </c>
      <c r="H30" s="64"/>
    </row>
    <row r="31" spans="1:8" x14ac:dyDescent="0.4">
      <c r="A31" s="413" t="str">
        <f>Základy!A45</f>
        <v>Drcení (cementárna)</v>
      </c>
      <c r="B31" s="95">
        <f>Základy!B45</f>
        <v>12</v>
      </c>
      <c r="C31" s="95">
        <f>Základy!C45</f>
        <v>13</v>
      </c>
      <c r="D31" s="95">
        <f>Základy!D45</f>
        <v>156</v>
      </c>
      <c r="E31" s="363"/>
      <c r="F31" s="363"/>
      <c r="G31" s="96">
        <f>Základy!G45</f>
        <v>202</v>
      </c>
      <c r="H31" s="65"/>
    </row>
    <row r="32" spans="1:8" x14ac:dyDescent="0.4">
      <c r="A32" s="414"/>
      <c r="B32" s="68">
        <f>Základy!B46</f>
        <v>22165.895697958891</v>
      </c>
      <c r="C32" s="68">
        <f>Základy!C46</f>
        <v>24023.082033598028</v>
      </c>
      <c r="D32" s="68">
        <f>Základy!D46</f>
        <v>584660.59049604472</v>
      </c>
      <c r="E32" s="354"/>
      <c r="F32" s="354"/>
      <c r="G32" s="70">
        <f>Základy!G46</f>
        <v>804799.43500759196</v>
      </c>
      <c r="H32" s="64"/>
    </row>
    <row r="33" spans="1:8" x14ac:dyDescent="0.4">
      <c r="A33" s="413" t="str">
        <f>Základy!A47</f>
        <v>Bezplatné</v>
      </c>
      <c r="B33" s="95">
        <f>Základy!B47</f>
        <v>204</v>
      </c>
      <c r="C33" s="95">
        <f>Základy!C47</f>
        <v>149</v>
      </c>
      <c r="D33" s="95">
        <f>Základy!D47</f>
        <v>109</v>
      </c>
      <c r="E33" s="363"/>
      <c r="F33" s="363"/>
      <c r="G33" s="96">
        <f>Základy!G47</f>
        <v>125</v>
      </c>
      <c r="H33" s="65"/>
    </row>
    <row r="34" spans="1:8" x14ac:dyDescent="0.4">
      <c r="A34" s="414"/>
      <c r="B34" s="68">
        <f>Základy!B48</f>
        <v>0</v>
      </c>
      <c r="C34" s="68">
        <f>Základy!C48</f>
        <v>0</v>
      </c>
      <c r="D34" s="68">
        <f>Základy!D48</f>
        <v>0</v>
      </c>
      <c r="E34" s="354"/>
      <c r="F34" s="354"/>
      <c r="G34" s="70">
        <f>Základy!G48</f>
        <v>0</v>
      </c>
      <c r="H34" s="64"/>
    </row>
    <row r="35" spans="1:8" x14ac:dyDescent="0.4">
      <c r="A35" s="69" t="str">
        <f>Základy!A49</f>
        <v>Celkem náklady za likvidaci</v>
      </c>
      <c r="B35" s="68">
        <f>Základy!B49</f>
        <v>642653.21701577457</v>
      </c>
      <c r="C35" s="68">
        <f>Základy!C49</f>
        <v>562499.35583759577</v>
      </c>
      <c r="D35" s="68">
        <f>Základy!D49</f>
        <v>1040908.3196519818</v>
      </c>
      <c r="E35" s="354"/>
      <c r="F35" s="354"/>
      <c r="G35" s="70">
        <f>Základy!G49</f>
        <v>1488867.0811851067</v>
      </c>
      <c r="H35" s="64"/>
    </row>
    <row r="36" spans="1:8" x14ac:dyDescent="0.4">
      <c r="A36" s="69" t="str">
        <f>Základy!A50</f>
        <v xml:space="preserve">Výnosy </v>
      </c>
      <c r="B36" s="68">
        <f>Základy!B50</f>
        <v>1128179</v>
      </c>
      <c r="C36" s="68">
        <f>Základy!C50</f>
        <v>1095635</v>
      </c>
      <c r="D36" s="68">
        <f>Základy!D50</f>
        <v>1317389</v>
      </c>
      <c r="E36" s="354"/>
      <c r="F36" s="354"/>
      <c r="G36" s="70">
        <f>Základy!G50</f>
        <v>1471239</v>
      </c>
      <c r="H36" s="64"/>
    </row>
    <row r="37" spans="1:8" ht="21.6" thickBot="1" x14ac:dyDescent="0.45">
      <c r="A37" s="71" t="str">
        <f>Základy!A51</f>
        <v>Zisk</v>
      </c>
      <c r="B37" s="114">
        <f>Základy!B51</f>
        <v>485525.78298422543</v>
      </c>
      <c r="C37" s="114">
        <f>Základy!C51</f>
        <v>533135.64416240423</v>
      </c>
      <c r="D37" s="114">
        <f>Základy!D51</f>
        <v>276480.68034801818</v>
      </c>
      <c r="E37" s="364"/>
      <c r="F37" s="364"/>
      <c r="G37" s="150">
        <f>Základy!G51</f>
        <v>-17628.081185106654</v>
      </c>
      <c r="H37" s="118"/>
    </row>
    <row r="38" spans="1:8" x14ac:dyDescent="0.4">
      <c r="A38" s="400" t="str">
        <f>Základy!A52</f>
        <v>Výpočet výnosu z likvidace odpadů na překladišti za  město Humpolec</v>
      </c>
      <c r="B38" s="401"/>
      <c r="C38" s="401"/>
      <c r="D38" s="402"/>
      <c r="E38" s="403"/>
      <c r="F38" s="403"/>
      <c r="G38" s="404"/>
      <c r="H38" s="367"/>
    </row>
    <row r="39" spans="1:8" x14ac:dyDescent="0.4">
      <c r="A39" s="69"/>
      <c r="B39" s="78">
        <f>Základy!B53</f>
        <v>2021</v>
      </c>
      <c r="C39" s="78">
        <f>Základy!C53</f>
        <v>2022</v>
      </c>
      <c r="D39" s="78">
        <f>Základy!D53</f>
        <v>2023</v>
      </c>
      <c r="E39" s="218"/>
      <c r="F39" s="218"/>
      <c r="G39" s="81" t="str">
        <f>Základy!G53</f>
        <v>1.-9.2024</v>
      </c>
      <c r="H39" s="367"/>
    </row>
    <row r="40" spans="1:8" x14ac:dyDescent="0.4">
      <c r="A40" s="413" t="str">
        <f>Základy!A54</f>
        <v>Skládka</v>
      </c>
      <c r="B40" s="95">
        <f>Základy!B54</f>
        <v>660</v>
      </c>
      <c r="C40" s="95">
        <f>Základy!C54</f>
        <v>567</v>
      </c>
      <c r="D40" s="95">
        <f>Základy!D54</f>
        <v>250</v>
      </c>
      <c r="E40" s="363"/>
      <c r="F40" s="363"/>
      <c r="G40" s="96">
        <f>Základy!G54</f>
        <v>259</v>
      </c>
      <c r="H40" s="65"/>
    </row>
    <row r="41" spans="1:8" x14ac:dyDescent="0.4">
      <c r="A41" s="414"/>
      <c r="B41" s="68">
        <f>Základy!B55</f>
        <v>338168.15199814894</v>
      </c>
      <c r="C41" s="68">
        <f>Základy!C55</f>
        <v>307778.27343434148</v>
      </c>
      <c r="D41" s="68">
        <f>Základy!D55</f>
        <v>155186.30243399218</v>
      </c>
      <c r="E41" s="354"/>
      <c r="F41" s="354"/>
      <c r="G41" s="70">
        <f>Základy!G55</f>
        <v>258270.43784253098</v>
      </c>
      <c r="H41" s="64"/>
    </row>
    <row r="42" spans="1:8" x14ac:dyDescent="0.4">
      <c r="A42" s="413" t="str">
        <f>Základy!A56</f>
        <v>Drcení</v>
      </c>
      <c r="B42" s="95">
        <f>Základy!B56</f>
        <v>0</v>
      </c>
      <c r="C42" s="95">
        <f>Základy!C56</f>
        <v>0</v>
      </c>
      <c r="D42" s="95">
        <f>Základy!D56</f>
        <v>170</v>
      </c>
      <c r="E42" s="363"/>
      <c r="F42" s="363"/>
      <c r="G42" s="96">
        <f>Základy!G56</f>
        <v>173</v>
      </c>
      <c r="H42" s="65"/>
    </row>
    <row r="43" spans="1:8" x14ac:dyDescent="0.4">
      <c r="A43" s="414"/>
      <c r="B43" s="68">
        <f>Základy!B57</f>
        <v>0</v>
      </c>
      <c r="C43" s="68">
        <f>Základy!C57</f>
        <v>0</v>
      </c>
      <c r="D43" s="68">
        <f>Základy!D57</f>
        <v>637130.13066876668</v>
      </c>
      <c r="E43" s="354"/>
      <c r="F43" s="354"/>
      <c r="G43" s="70">
        <f>Základy!G57</f>
        <v>689258.92206095741</v>
      </c>
      <c r="H43" s="64"/>
    </row>
    <row r="44" spans="1:8" x14ac:dyDescent="0.4">
      <c r="A44" s="413" t="str">
        <f>Základy!A58</f>
        <v>Bezplatné</v>
      </c>
      <c r="B44" s="95">
        <f>Základy!B58</f>
        <v>148</v>
      </c>
      <c r="C44" s="95">
        <f>Základy!C58</f>
        <v>70</v>
      </c>
      <c r="D44" s="95">
        <f>Základy!D58</f>
        <v>60</v>
      </c>
      <c r="E44" s="363"/>
      <c r="F44" s="363"/>
      <c r="G44" s="96">
        <f>Základy!G58</f>
        <v>57</v>
      </c>
      <c r="H44" s="65"/>
    </row>
    <row r="45" spans="1:8" x14ac:dyDescent="0.4">
      <c r="A45" s="414"/>
      <c r="B45" s="68">
        <f>Základy!B59</f>
        <v>0</v>
      </c>
      <c r="C45" s="68">
        <f>Základy!C59</f>
        <v>0</v>
      </c>
      <c r="D45" s="68">
        <f>Základy!D59</f>
        <v>0</v>
      </c>
      <c r="E45" s="354"/>
      <c r="F45" s="354"/>
      <c r="G45" s="70">
        <f>Základy!G59</f>
        <v>0</v>
      </c>
      <c r="H45" s="64"/>
    </row>
    <row r="46" spans="1:8" x14ac:dyDescent="0.4">
      <c r="A46" s="69" t="str">
        <f>Základy!A60</f>
        <v>Celkem náklady za likvidaci</v>
      </c>
      <c r="B46" s="68">
        <f>Základy!B60</f>
        <v>338168.15199814894</v>
      </c>
      <c r="C46" s="68">
        <f>Základy!C60</f>
        <v>307778.27343434148</v>
      </c>
      <c r="D46" s="68">
        <f>Základy!D60</f>
        <v>792316.43310275883</v>
      </c>
      <c r="E46" s="354"/>
      <c r="F46" s="354"/>
      <c r="G46" s="70">
        <f>Základy!G60</f>
        <v>947529.35990348842</v>
      </c>
      <c r="H46" s="64"/>
    </row>
    <row r="47" spans="1:8" x14ac:dyDescent="0.4">
      <c r="A47" s="69" t="str">
        <f>Základy!A61</f>
        <v xml:space="preserve">Výnosy </v>
      </c>
      <c r="B47" s="68">
        <f>Základy!B61</f>
        <v>424103</v>
      </c>
      <c r="C47" s="68">
        <f>Základy!C61</f>
        <v>395503</v>
      </c>
      <c r="D47" s="68">
        <f>Základy!D61</f>
        <v>493624.57</v>
      </c>
      <c r="E47" s="354"/>
      <c r="F47" s="354"/>
      <c r="G47" s="70">
        <f>Základy!G61</f>
        <v>615562</v>
      </c>
      <c r="H47" s="64"/>
    </row>
    <row r="48" spans="1:8" ht="21.6" thickBot="1" x14ac:dyDescent="0.45">
      <c r="A48" s="71" t="str">
        <f>Základy!A62</f>
        <v>Zisk</v>
      </c>
      <c r="B48" s="114">
        <f>Základy!B62</f>
        <v>85934.84800185106</v>
      </c>
      <c r="C48" s="114">
        <f>Základy!C62</f>
        <v>87724.726565658522</v>
      </c>
      <c r="D48" s="114">
        <f>Základy!D62</f>
        <v>-298691.86310275883</v>
      </c>
      <c r="E48" s="364"/>
      <c r="F48" s="364"/>
      <c r="G48" s="150">
        <f>Základy!G62</f>
        <v>-331967.35990348842</v>
      </c>
      <c r="H48" s="118"/>
    </row>
    <row r="50" spans="1:8" ht="21.6" thickBot="1" x14ac:dyDescent="0.45"/>
    <row r="51" spans="1:8" x14ac:dyDescent="0.4">
      <c r="A51" s="400" t="str">
        <f>Základy!A65</f>
        <v>Výpočet výnosů za svoz SKO od podnikatelských subjektů Humpolecko</v>
      </c>
      <c r="B51" s="401"/>
      <c r="C51" s="401"/>
      <c r="D51" s="402"/>
      <c r="E51" s="403"/>
      <c r="F51" s="403"/>
      <c r="G51" s="404"/>
      <c r="H51" s="367"/>
    </row>
    <row r="52" spans="1:8" x14ac:dyDescent="0.4">
      <c r="A52" s="69"/>
      <c r="B52" s="78">
        <f>Základy!B66</f>
        <v>2021</v>
      </c>
      <c r="C52" s="78">
        <f>Základy!C66</f>
        <v>2022</v>
      </c>
      <c r="D52" s="78">
        <f>Základy!D66</f>
        <v>2023</v>
      </c>
      <c r="E52" s="218"/>
      <c r="F52" s="218"/>
      <c r="G52" s="81">
        <f>Základy!G66</f>
        <v>2024</v>
      </c>
      <c r="H52" s="367"/>
    </row>
    <row r="53" spans="1:8" x14ac:dyDescent="0.4">
      <c r="A53" s="69" t="str">
        <f>Základy!A67</f>
        <v>Produkce SKO</v>
      </c>
      <c r="B53" s="95">
        <f>Základy!B67</f>
        <v>2014</v>
      </c>
      <c r="C53" s="95">
        <f>Základy!C67</f>
        <v>1440</v>
      </c>
      <c r="D53" s="95">
        <f>Základy!D67</f>
        <v>1603</v>
      </c>
      <c r="E53" s="363"/>
      <c r="F53" s="363"/>
      <c r="G53" s="96">
        <f>Základy!G67</f>
        <v>1650</v>
      </c>
      <c r="H53" s="65"/>
    </row>
    <row r="54" spans="1:8" x14ac:dyDescent="0.4">
      <c r="A54" s="69" t="str">
        <f>Základy!A68</f>
        <v>Poměr za humpolecko</v>
      </c>
      <c r="B54" s="95">
        <f>Základy!B68</f>
        <v>705.30866555263788</v>
      </c>
      <c r="C54" s="95">
        <f>Základy!C68</f>
        <v>505.53034947884731</v>
      </c>
      <c r="D54" s="95">
        <f>Základy!D68</f>
        <v>558.33694465297208</v>
      </c>
      <c r="E54" s="363"/>
      <c r="F54" s="363"/>
      <c r="G54" s="96">
        <f>Základy!G68</f>
        <v>580.11038735020634</v>
      </c>
      <c r="H54" s="65"/>
    </row>
    <row r="55" spans="1:8" x14ac:dyDescent="0.4">
      <c r="A55" s="69" t="str">
        <f>Základy!A69</f>
        <v>Náklady na likvidaci</v>
      </c>
      <c r="B55" s="68">
        <f>Základy!B69</f>
        <v>361383.22427002428</v>
      </c>
      <c r="C55" s="68">
        <f>Základy!C69</f>
        <v>274411.39000222023</v>
      </c>
      <c r="D55" s="68">
        <f>Základy!D69</f>
        <v>346584.98381194909</v>
      </c>
      <c r="E55" s="354"/>
      <c r="F55" s="354"/>
      <c r="G55" s="70">
        <f>Základy!G69</f>
        <v>578476.30786848662</v>
      </c>
      <c r="H55" s="64"/>
    </row>
    <row r="56" spans="1:8" x14ac:dyDescent="0.4">
      <c r="A56" s="69" t="str">
        <f>Základy!A70</f>
        <v>Náklady na dopravu</v>
      </c>
      <c r="B56" s="112">
        <f>Základy!B70</f>
        <v>200842.36151850849</v>
      </c>
      <c r="C56" s="112">
        <f>Základy!C70</f>
        <v>145835.42792841565</v>
      </c>
      <c r="D56" s="112">
        <f>Základy!D70</f>
        <v>171306.08825238218</v>
      </c>
      <c r="E56" s="365"/>
      <c r="F56" s="365"/>
      <c r="G56" s="113">
        <f>Základy!G70</f>
        <v>222687.60508006453</v>
      </c>
      <c r="H56" s="118"/>
    </row>
    <row r="57" spans="1:8" x14ac:dyDescent="0.4">
      <c r="A57" s="69" t="str">
        <f>Základy!A71</f>
        <v>Výnosy od podnikatelů ze svozu</v>
      </c>
      <c r="B57" s="112">
        <f>Základy!B71</f>
        <v>5363870</v>
      </c>
      <c r="C57" s="112">
        <f>Základy!C71</f>
        <v>4613900</v>
      </c>
      <c r="D57" s="112">
        <f>Základy!D71</f>
        <v>5180670</v>
      </c>
      <c r="E57" s="365"/>
      <c r="F57" s="365"/>
      <c r="G57" s="113">
        <f>Základy!G71</f>
        <v>5553690</v>
      </c>
      <c r="H57" s="118"/>
    </row>
    <row r="58" spans="1:8" x14ac:dyDescent="0.4">
      <c r="A58" s="69" t="str">
        <f>Základy!A72</f>
        <v>Poměr za Humpolecko</v>
      </c>
      <c r="B58" s="112">
        <f>Základy!B72</f>
        <v>1878442.8956791596</v>
      </c>
      <c r="C58" s="112">
        <f>Základy!C72</f>
        <v>1619768.388514204</v>
      </c>
      <c r="D58" s="112">
        <f>Základy!D72</f>
        <v>1804466.2876202825</v>
      </c>
      <c r="E58" s="365"/>
      <c r="F58" s="365"/>
      <c r="G58" s="113">
        <f>Základy!G72</f>
        <v>1952577.7315896773</v>
      </c>
      <c r="H58" s="118"/>
    </row>
    <row r="59" spans="1:8" x14ac:dyDescent="0.4">
      <c r="A59" s="69" t="str">
        <f>Základy!A73</f>
        <v>Zisk 10%</v>
      </c>
      <c r="B59" s="112">
        <f>Základy!B73</f>
        <v>187844.28956791596</v>
      </c>
      <c r="C59" s="112">
        <f>Základy!C73</f>
        <v>161976.83885142041</v>
      </c>
      <c r="D59" s="112">
        <f>Základy!D73</f>
        <v>180446.62876202827</v>
      </c>
      <c r="E59" s="365"/>
      <c r="F59" s="365"/>
      <c r="G59" s="113">
        <f>Základy!G73</f>
        <v>195257.77315896773</v>
      </c>
      <c r="H59" s="118"/>
    </row>
    <row r="60" spans="1:8" ht="21.6" thickBot="1" x14ac:dyDescent="0.45">
      <c r="A60" s="71" t="str">
        <f>Základy!A74</f>
        <v xml:space="preserve">Výnosy ze svozu </v>
      </c>
      <c r="B60" s="114">
        <f>Základy!B74</f>
        <v>1128373.0203227107</v>
      </c>
      <c r="C60" s="114">
        <f>Základy!C74</f>
        <v>1037544.7317321477</v>
      </c>
      <c r="D60" s="114">
        <f>Základy!D74</f>
        <v>1106128.5867939231</v>
      </c>
      <c r="E60" s="364"/>
      <c r="F60" s="364"/>
      <c r="G60" s="150">
        <f>Základy!G74</f>
        <v>956156.0454821582</v>
      </c>
      <c r="H60" s="118"/>
    </row>
  </sheetData>
  <mergeCells count="13">
    <mergeCell ref="A51:G51"/>
    <mergeCell ref="A29:A30"/>
    <mergeCell ref="A31:A32"/>
    <mergeCell ref="A33:A34"/>
    <mergeCell ref="A40:A41"/>
    <mergeCell ref="A42:A43"/>
    <mergeCell ref="A44:A45"/>
    <mergeCell ref="A38:G38"/>
    <mergeCell ref="A1:G1"/>
    <mergeCell ref="A2:G2"/>
    <mergeCell ref="A8:G8"/>
    <mergeCell ref="A18:G18"/>
    <mergeCell ref="A27:G27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7AAE-E979-4689-95CE-F18560FE3374}">
  <dimension ref="A1:E114"/>
  <sheetViews>
    <sheetView zoomScale="98" workbookViewId="0">
      <selection activeCell="F67" sqref="F67"/>
    </sheetView>
  </sheetViews>
  <sheetFormatPr defaultColWidth="9.109375" defaultRowHeight="21" x14ac:dyDescent="0.4"/>
  <cols>
    <col min="1" max="1" width="62.109375" style="230" customWidth="1"/>
    <col min="2" max="5" width="16" style="230" customWidth="1"/>
    <col min="6" max="16384" width="9.109375" style="62"/>
  </cols>
  <sheetData>
    <row r="1" spans="1:5" ht="25.8" thickBot="1" x14ac:dyDescent="0.5">
      <c r="A1" s="415" t="s">
        <v>385</v>
      </c>
      <c r="B1" s="415"/>
      <c r="C1" s="415"/>
      <c r="D1" s="415"/>
      <c r="E1" s="415"/>
    </row>
    <row r="2" spans="1:5" hidden="1" x14ac:dyDescent="0.4">
      <c r="A2" s="400" t="str">
        <f>Základy!A16</f>
        <v>Výpočet procenta režie</v>
      </c>
      <c r="B2" s="401"/>
      <c r="C2" s="401"/>
      <c r="D2" s="402"/>
      <c r="E2" s="404"/>
    </row>
    <row r="3" spans="1:5" hidden="1" x14ac:dyDescent="0.4">
      <c r="A3" s="225"/>
      <c r="B3" s="234"/>
      <c r="C3" s="234"/>
      <c r="D3" s="235">
        <f>Základy!D17</f>
        <v>2023</v>
      </c>
      <c r="E3" s="236" t="str">
        <f>Základy!G17</f>
        <v>1.-9.2024</v>
      </c>
    </row>
    <row r="4" spans="1:5" hidden="1" x14ac:dyDescent="0.4">
      <c r="A4" s="226" t="str">
        <f>Základy!A18</f>
        <v>Náklady celkem</v>
      </c>
      <c r="B4" s="237"/>
      <c r="C4" s="237"/>
      <c r="D4" s="238">
        <f>Základy!D18</f>
        <v>90483384.060000002</v>
      </c>
      <c r="E4" s="239">
        <f>Základy!G18</f>
        <v>72241197.25</v>
      </c>
    </row>
    <row r="5" spans="1:5" hidden="1" x14ac:dyDescent="0.4">
      <c r="A5" s="226" t="str">
        <f>Základy!A19</f>
        <v>Režie</v>
      </c>
      <c r="B5" s="237"/>
      <c r="C5" s="237"/>
      <c r="D5" s="238">
        <f>Základy!D19</f>
        <v>22555224.389999997</v>
      </c>
      <c r="E5" s="239">
        <f>Základy!G19</f>
        <v>17702606.480000004</v>
      </c>
    </row>
    <row r="6" spans="1:5" ht="21.6" hidden="1" thickBot="1" x14ac:dyDescent="0.45">
      <c r="A6" s="227" t="str">
        <f>Základy!A20</f>
        <v>Režie</v>
      </c>
      <c r="B6" s="240"/>
      <c r="C6" s="240"/>
      <c r="D6" s="241">
        <f>Základy!D20</f>
        <v>0.24927476601718954</v>
      </c>
      <c r="E6" s="242">
        <f>Základy!G20</f>
        <v>0.24504863089045778</v>
      </c>
    </row>
    <row r="7" spans="1:5" ht="21.6" hidden="1" thickBot="1" x14ac:dyDescent="0.45">
      <c r="A7" s="228">
        <f>Základy!A21</f>
        <v>0</v>
      </c>
      <c r="B7" s="243"/>
      <c r="C7" s="243"/>
      <c r="D7" s="244">
        <f>Základy!D21</f>
        <v>0</v>
      </c>
      <c r="E7" s="245">
        <f>Základy!G21</f>
        <v>0</v>
      </c>
    </row>
    <row r="8" spans="1:5" hidden="1" x14ac:dyDescent="0.4">
      <c r="A8" s="400" t="str">
        <f>Základy!A22</f>
        <v>Výpočet nákladů na km kontejnerového vozidla s vlekem</v>
      </c>
      <c r="B8" s="401"/>
      <c r="C8" s="401"/>
      <c r="D8" s="402"/>
      <c r="E8" s="404"/>
    </row>
    <row r="9" spans="1:5" hidden="1" x14ac:dyDescent="0.4">
      <c r="A9" s="226"/>
      <c r="B9" s="237"/>
      <c r="C9" s="237"/>
      <c r="D9" s="246">
        <f>Základy!D23</f>
        <v>2023</v>
      </c>
      <c r="E9" s="247" t="str">
        <f>Základy!G23</f>
        <v>1.-9.2024</v>
      </c>
    </row>
    <row r="10" spans="1:5" hidden="1" x14ac:dyDescent="0.4">
      <c r="A10" s="226" t="str">
        <f>Základy!A24</f>
        <v>Najeté kilometry kontejnerka</v>
      </c>
      <c r="B10" s="237"/>
      <c r="C10" s="237"/>
      <c r="D10" s="248">
        <f>Základy!D24</f>
        <v>70404</v>
      </c>
      <c r="E10" s="249">
        <f>Základy!G24</f>
        <v>49810</v>
      </c>
    </row>
    <row r="11" spans="1:5" hidden="1" x14ac:dyDescent="0.4">
      <c r="A11" s="226" t="str">
        <f>Základy!A25</f>
        <v>Náklady kontejnerka</v>
      </c>
      <c r="B11" s="237"/>
      <c r="C11" s="237"/>
      <c r="D11" s="238">
        <f>Základy!D25</f>
        <v>3774146</v>
      </c>
      <c r="E11" s="239">
        <f>Základy!G25</f>
        <v>2880652</v>
      </c>
    </row>
    <row r="12" spans="1:5" hidden="1" x14ac:dyDescent="0.4">
      <c r="A12" s="226" t="str">
        <f>Základy!A26</f>
        <v>Náklad na km kontejnerka</v>
      </c>
      <c r="B12" s="237"/>
      <c r="C12" s="237"/>
      <c r="D12" s="250">
        <f>Základy!D26</f>
        <v>53.606982557809218</v>
      </c>
      <c r="E12" s="251">
        <f>Základy!G26</f>
        <v>57.832804657699256</v>
      </c>
    </row>
    <row r="13" spans="1:5" hidden="1" x14ac:dyDescent="0.4">
      <c r="A13" s="226" t="str">
        <f>Základy!A27</f>
        <v>Najeté kilometry vleky</v>
      </c>
      <c r="B13" s="237"/>
      <c r="C13" s="237"/>
      <c r="D13" s="248">
        <f>Základy!D27</f>
        <v>36168</v>
      </c>
      <c r="E13" s="249">
        <f>Základy!G27</f>
        <v>25888</v>
      </c>
    </row>
    <row r="14" spans="1:5" hidden="1" x14ac:dyDescent="0.4">
      <c r="A14" s="226" t="str">
        <f>Základy!A28</f>
        <v>Náklad vleky</v>
      </c>
      <c r="B14" s="237"/>
      <c r="C14" s="237"/>
      <c r="D14" s="238">
        <f>Základy!D28</f>
        <v>311757</v>
      </c>
      <c r="E14" s="239">
        <f>Základy!G28</f>
        <v>242749</v>
      </c>
    </row>
    <row r="15" spans="1:5" hidden="1" x14ac:dyDescent="0.4">
      <c r="A15" s="226" t="str">
        <f>Základy!A29</f>
        <v>Náklad na km vleky</v>
      </c>
      <c r="B15" s="237"/>
      <c r="C15" s="237"/>
      <c r="D15" s="250">
        <f>Základy!D29</f>
        <v>8.619691439946914</v>
      </c>
      <c r="E15" s="251">
        <f>Základy!G29</f>
        <v>9.376892768850432</v>
      </c>
    </row>
    <row r="16" spans="1:5" hidden="1" x14ac:dyDescent="0.4">
      <c r="A16" s="226" t="str">
        <f>Základy!A30</f>
        <v>Celkem</v>
      </c>
      <c r="B16" s="237"/>
      <c r="C16" s="237"/>
      <c r="D16" s="250">
        <f>Základy!D30</f>
        <v>62.22667399775613</v>
      </c>
      <c r="E16" s="251">
        <f>Základy!G30</f>
        <v>67.209697426549695</v>
      </c>
    </row>
    <row r="17" spans="1:5" ht="21.6" hidden="1" thickBot="1" x14ac:dyDescent="0.45">
      <c r="A17" s="227" t="str">
        <f>Základy!A31</f>
        <v>Náklad dopravu vláčky včetně režie</v>
      </c>
      <c r="B17" s="240"/>
      <c r="C17" s="240"/>
      <c r="D17" s="252">
        <f>Základy!D31</f>
        <v>77.738213598574717</v>
      </c>
      <c r="E17" s="253">
        <f>Základy!G31</f>
        <v>83.679341763487628</v>
      </c>
    </row>
    <row r="18" spans="1:5" hidden="1" x14ac:dyDescent="0.4">
      <c r="A18" s="400" t="str">
        <f>Základy!A32</f>
        <v>Výpočet nákladů na  drcení a likvidaci</v>
      </c>
      <c r="B18" s="401"/>
      <c r="C18" s="401"/>
      <c r="D18" s="402"/>
      <c r="E18" s="404"/>
    </row>
    <row r="19" spans="1:5" hidden="1" x14ac:dyDescent="0.4">
      <c r="A19" s="226"/>
      <c r="B19" s="237"/>
      <c r="C19" s="237"/>
      <c r="D19" s="246">
        <f>Základy!D33</f>
        <v>2023</v>
      </c>
      <c r="E19" s="247">
        <f>Základy!G33</f>
        <v>2024</v>
      </c>
    </row>
    <row r="20" spans="1:5" hidden="1" x14ac:dyDescent="0.4">
      <c r="A20" s="226" t="str">
        <f>Základy!A34</f>
        <v>Náklady separace</v>
      </c>
      <c r="B20" s="237"/>
      <c r="C20" s="237"/>
      <c r="D20" s="254">
        <f>Základy!D34</f>
        <v>0</v>
      </c>
      <c r="E20" s="255">
        <f>Základy!G34</f>
        <v>0</v>
      </c>
    </row>
    <row r="21" spans="1:5" hidden="1" x14ac:dyDescent="0.4">
      <c r="A21" s="226" t="str">
        <f>Základy!A35</f>
        <v>Drcení</v>
      </c>
      <c r="B21" s="237"/>
      <c r="C21" s="237"/>
      <c r="D21" s="256">
        <f>Základy!D35</f>
        <v>1200</v>
      </c>
      <c r="E21" s="257">
        <f>Základy!G35</f>
        <v>1200</v>
      </c>
    </row>
    <row r="22" spans="1:5" hidden="1" x14ac:dyDescent="0.4">
      <c r="A22" s="226" t="str">
        <f>Základy!A36</f>
        <v>Doprava do cementárny</v>
      </c>
      <c r="B22" s="237"/>
      <c r="C22" s="237"/>
      <c r="D22" s="256">
        <f>Základy!D36</f>
        <v>600</v>
      </c>
      <c r="E22" s="257">
        <f>Základy!G36</f>
        <v>600</v>
      </c>
    </row>
    <row r="23" spans="1:5" hidden="1" x14ac:dyDescent="0.4">
      <c r="A23" s="226" t="str">
        <f>Základy!A37</f>
        <v>Likvidace v cementárně</v>
      </c>
      <c r="B23" s="237"/>
      <c r="C23" s="237"/>
      <c r="D23" s="256">
        <f>Základy!D37</f>
        <v>1000</v>
      </c>
      <c r="E23" s="257">
        <f>Základy!G37</f>
        <v>1200</v>
      </c>
    </row>
    <row r="24" spans="1:5" hidden="1" x14ac:dyDescent="0.4">
      <c r="A24" s="226" t="str">
        <f>Základy!A38</f>
        <v>nakládka</v>
      </c>
      <c r="B24" s="237"/>
      <c r="C24" s="237"/>
      <c r="D24" s="256">
        <f>Základy!D38</f>
        <v>200</v>
      </c>
      <c r="E24" s="257">
        <f>Základy!G38</f>
        <v>200</v>
      </c>
    </row>
    <row r="25" spans="1:5" hidden="1" x14ac:dyDescent="0.4">
      <c r="A25" s="226" t="str">
        <f>Základy!A39</f>
        <v>Celkem</v>
      </c>
      <c r="B25" s="237"/>
      <c r="C25" s="237"/>
      <c r="D25" s="256">
        <f>Základy!D39</f>
        <v>3000</v>
      </c>
      <c r="E25" s="257">
        <f>Základy!G39</f>
        <v>3200</v>
      </c>
    </row>
    <row r="26" spans="1:5" ht="21.6" hidden="1" thickBot="1" x14ac:dyDescent="0.45">
      <c r="A26" s="227" t="str">
        <f>Základy!A40</f>
        <v>Náklady včetně režie</v>
      </c>
      <c r="B26" s="240"/>
      <c r="C26" s="240"/>
      <c r="D26" s="258">
        <f>Základy!D40</f>
        <v>3747.8242980515688</v>
      </c>
      <c r="E26" s="259">
        <f>Základy!G40</f>
        <v>3984.1556188494651</v>
      </c>
    </row>
    <row r="27" spans="1:5" hidden="1" x14ac:dyDescent="0.4">
      <c r="A27" s="400" t="str">
        <f>Základy!A41</f>
        <v>Výpočet výnosu z likvidace odpadů na překladišti</v>
      </c>
      <c r="B27" s="401"/>
      <c r="C27" s="401"/>
      <c r="D27" s="402"/>
      <c r="E27" s="404"/>
    </row>
    <row r="28" spans="1:5" hidden="1" x14ac:dyDescent="0.4">
      <c r="A28" s="226"/>
      <c r="B28" s="237"/>
      <c r="C28" s="237"/>
      <c r="D28" s="246">
        <f>Základy!D42</f>
        <v>2023</v>
      </c>
      <c r="E28" s="247" t="str">
        <f>Základy!G42</f>
        <v>1.-9.2024</v>
      </c>
    </row>
    <row r="29" spans="1:5" hidden="1" x14ac:dyDescent="0.4">
      <c r="A29" s="421" t="str">
        <f>Základy!A43</f>
        <v>Skládka</v>
      </c>
      <c r="B29" s="260"/>
      <c r="C29" s="260"/>
      <c r="D29" s="261">
        <f>Základy!D43</f>
        <v>735</v>
      </c>
      <c r="E29" s="262">
        <f>Základy!G43</f>
        <v>686</v>
      </c>
    </row>
    <row r="30" spans="1:5" hidden="1" x14ac:dyDescent="0.4">
      <c r="A30" s="422"/>
      <c r="B30" s="263"/>
      <c r="C30" s="263"/>
      <c r="D30" s="238">
        <f>Základy!D44</f>
        <v>456247.72915593704</v>
      </c>
      <c r="E30" s="239">
        <f>Základy!G44</f>
        <v>684067.64617751457</v>
      </c>
    </row>
    <row r="31" spans="1:5" hidden="1" x14ac:dyDescent="0.4">
      <c r="A31" s="421" t="str">
        <f>Základy!A45</f>
        <v>Drcení (cementárna)</v>
      </c>
      <c r="B31" s="260"/>
      <c r="C31" s="260"/>
      <c r="D31" s="261">
        <f>Základy!D45</f>
        <v>156</v>
      </c>
      <c r="E31" s="262">
        <f>Základy!G45</f>
        <v>202</v>
      </c>
    </row>
    <row r="32" spans="1:5" hidden="1" x14ac:dyDescent="0.4">
      <c r="A32" s="422"/>
      <c r="B32" s="263"/>
      <c r="C32" s="263"/>
      <c r="D32" s="238">
        <f>Základy!D46</f>
        <v>584660.59049604472</v>
      </c>
      <c r="E32" s="239">
        <f>Základy!G46</f>
        <v>804799.43500759196</v>
      </c>
    </row>
    <row r="33" spans="1:5" hidden="1" x14ac:dyDescent="0.4">
      <c r="A33" s="421" t="str">
        <f>Základy!A47</f>
        <v>Bezplatné</v>
      </c>
      <c r="B33" s="260"/>
      <c r="C33" s="260"/>
      <c r="D33" s="261">
        <f>Základy!D47</f>
        <v>109</v>
      </c>
      <c r="E33" s="262">
        <f>Základy!G47</f>
        <v>125</v>
      </c>
    </row>
    <row r="34" spans="1:5" hidden="1" x14ac:dyDescent="0.4">
      <c r="A34" s="422"/>
      <c r="B34" s="263"/>
      <c r="C34" s="263"/>
      <c r="D34" s="238">
        <f>Základy!D48</f>
        <v>0</v>
      </c>
      <c r="E34" s="239">
        <f>Základy!G48</f>
        <v>0</v>
      </c>
    </row>
    <row r="35" spans="1:5" hidden="1" x14ac:dyDescent="0.4">
      <c r="A35" s="226" t="str">
        <f>Základy!A49</f>
        <v>Celkem náklady za likvidaci</v>
      </c>
      <c r="B35" s="237"/>
      <c r="C35" s="237"/>
      <c r="D35" s="238">
        <f>Základy!D49</f>
        <v>1040908.3196519818</v>
      </c>
      <c r="E35" s="239">
        <f>Základy!G49</f>
        <v>1488867.0811851067</v>
      </c>
    </row>
    <row r="36" spans="1:5" hidden="1" x14ac:dyDescent="0.4">
      <c r="A36" s="226" t="str">
        <f>Základy!A50</f>
        <v xml:space="preserve">Výnosy </v>
      </c>
      <c r="B36" s="237"/>
      <c r="C36" s="237"/>
      <c r="D36" s="238">
        <f>Základy!D50</f>
        <v>1317389</v>
      </c>
      <c r="E36" s="239">
        <f>Základy!G50</f>
        <v>1471239</v>
      </c>
    </row>
    <row r="37" spans="1:5" ht="21.6" hidden="1" thickBot="1" x14ac:dyDescent="0.45">
      <c r="A37" s="229" t="str">
        <f>Základy!A51</f>
        <v>Zisk</v>
      </c>
      <c r="B37" s="264"/>
      <c r="C37" s="264"/>
      <c r="D37" s="265">
        <f>Základy!D51</f>
        <v>276480.68034801818</v>
      </c>
      <c r="E37" s="266">
        <f>Základy!G51</f>
        <v>-17628.081185106654</v>
      </c>
    </row>
    <row r="38" spans="1:5" hidden="1" x14ac:dyDescent="0.4">
      <c r="A38" s="400" t="str">
        <f>Základy!A52</f>
        <v>Výpočet výnosu z likvidace odpadů na překladišti za  město Humpolec</v>
      </c>
      <c r="B38" s="401"/>
      <c r="C38" s="401"/>
      <c r="D38" s="402"/>
      <c r="E38" s="404"/>
    </row>
    <row r="39" spans="1:5" hidden="1" x14ac:dyDescent="0.4">
      <c r="A39" s="226">
        <f>Základy!A53</f>
        <v>0</v>
      </c>
      <c r="B39" s="237"/>
      <c r="C39" s="237"/>
      <c r="D39" s="246">
        <f>Základy!D53</f>
        <v>2023</v>
      </c>
      <c r="E39" s="247" t="str">
        <f>Základy!G53</f>
        <v>1.-9.2024</v>
      </c>
    </row>
    <row r="40" spans="1:5" hidden="1" x14ac:dyDescent="0.4">
      <c r="A40" s="421" t="str">
        <f>Základy!A54</f>
        <v>Skládka</v>
      </c>
      <c r="B40" s="260"/>
      <c r="C40" s="260"/>
      <c r="D40" s="261">
        <f>Základy!D54</f>
        <v>250</v>
      </c>
      <c r="E40" s="261">
        <f>Základy!G54</f>
        <v>259</v>
      </c>
    </row>
    <row r="41" spans="1:5" hidden="1" x14ac:dyDescent="0.4">
      <c r="A41" s="422"/>
      <c r="B41" s="263"/>
      <c r="C41" s="263"/>
      <c r="D41" s="238">
        <f>Základy!D55</f>
        <v>155186.30243399218</v>
      </c>
      <c r="E41" s="238">
        <f>Základy!G55</f>
        <v>258270.43784253098</v>
      </c>
    </row>
    <row r="42" spans="1:5" hidden="1" x14ac:dyDescent="0.4">
      <c r="A42" s="421" t="str">
        <f>Základy!A56</f>
        <v>Drcení</v>
      </c>
      <c r="B42" s="260"/>
      <c r="C42" s="260"/>
      <c r="D42" s="261">
        <f>Základy!D56</f>
        <v>170</v>
      </c>
      <c r="E42" s="261">
        <f>Základy!G56</f>
        <v>173</v>
      </c>
    </row>
    <row r="43" spans="1:5" hidden="1" x14ac:dyDescent="0.4">
      <c r="A43" s="422"/>
      <c r="B43" s="263"/>
      <c r="C43" s="263"/>
      <c r="D43" s="238">
        <f>Základy!D57</f>
        <v>637130.13066876668</v>
      </c>
      <c r="E43" s="238">
        <f>Základy!G57</f>
        <v>689258.92206095741</v>
      </c>
    </row>
    <row r="44" spans="1:5" hidden="1" x14ac:dyDescent="0.4">
      <c r="A44" s="421" t="str">
        <f>Základy!A58</f>
        <v>Bezplatné</v>
      </c>
      <c r="B44" s="260"/>
      <c r="C44" s="260"/>
      <c r="D44" s="261">
        <f>Základy!D58</f>
        <v>60</v>
      </c>
      <c r="E44" s="261">
        <f>Základy!G58</f>
        <v>57</v>
      </c>
    </row>
    <row r="45" spans="1:5" hidden="1" x14ac:dyDescent="0.4">
      <c r="A45" s="422"/>
      <c r="B45" s="263"/>
      <c r="C45" s="263"/>
      <c r="D45" s="238">
        <f>Základy!D59</f>
        <v>0</v>
      </c>
      <c r="E45" s="239">
        <f>Základy!G59</f>
        <v>0</v>
      </c>
    </row>
    <row r="46" spans="1:5" hidden="1" x14ac:dyDescent="0.4">
      <c r="A46" s="226" t="str">
        <f>Základy!A60</f>
        <v>Celkem náklady za likvidaci</v>
      </c>
      <c r="B46" s="237"/>
      <c r="C46" s="237"/>
      <c r="D46" s="238">
        <f>Základy!D60</f>
        <v>792316.43310275883</v>
      </c>
      <c r="E46" s="239">
        <f>Základy!G60</f>
        <v>947529.35990348842</v>
      </c>
    </row>
    <row r="47" spans="1:5" hidden="1" x14ac:dyDescent="0.4">
      <c r="A47" s="226" t="str">
        <f>Základy!A61</f>
        <v xml:space="preserve">Výnosy </v>
      </c>
      <c r="B47" s="237"/>
      <c r="C47" s="237"/>
      <c r="D47" s="238">
        <f>Základy!D61</f>
        <v>493624.57</v>
      </c>
      <c r="E47" s="238">
        <f>Základy!G61</f>
        <v>615562</v>
      </c>
    </row>
    <row r="48" spans="1:5" ht="21.6" hidden="1" thickBot="1" x14ac:dyDescent="0.45">
      <c r="A48" s="229" t="str">
        <f>Základy!A62</f>
        <v>Zisk</v>
      </c>
      <c r="B48" s="264"/>
      <c r="C48" s="264"/>
      <c r="D48" s="265">
        <f>Základy!D62</f>
        <v>-298691.86310275883</v>
      </c>
      <c r="E48" s="266">
        <f>Základy!G62</f>
        <v>-331967.35990348842</v>
      </c>
    </row>
    <row r="49" spans="1:5" hidden="1" x14ac:dyDescent="0.4">
      <c r="A49" s="230">
        <f>Základy!A63</f>
        <v>0</v>
      </c>
      <c r="D49" s="230">
        <f>Základy!D63</f>
        <v>0</v>
      </c>
      <c r="E49" s="230">
        <f>Základy!G63</f>
        <v>0</v>
      </c>
    </row>
    <row r="50" spans="1:5" ht="21.6" hidden="1" thickBot="1" x14ac:dyDescent="0.45">
      <c r="A50" s="230">
        <f>Základy!A64</f>
        <v>0</v>
      </c>
      <c r="D50" s="230">
        <f>Základy!D64</f>
        <v>0</v>
      </c>
      <c r="E50" s="230">
        <f>Základy!G64</f>
        <v>0</v>
      </c>
    </row>
    <row r="51" spans="1:5" hidden="1" x14ac:dyDescent="0.4">
      <c r="A51" s="400" t="str">
        <f>Základy!A65</f>
        <v>Výpočet výnosů za svoz SKO od podnikatelských subjektů Humpolecko</v>
      </c>
      <c r="B51" s="401"/>
      <c r="C51" s="401"/>
      <c r="D51" s="402"/>
      <c r="E51" s="404"/>
    </row>
    <row r="52" spans="1:5" hidden="1" x14ac:dyDescent="0.4">
      <c r="A52" s="226">
        <f>Základy!A66</f>
        <v>0</v>
      </c>
      <c r="B52" s="237"/>
      <c r="C52" s="237"/>
      <c r="D52" s="246">
        <f>Základy!D66</f>
        <v>2023</v>
      </c>
      <c r="E52" s="247">
        <f>Základy!G66</f>
        <v>2024</v>
      </c>
    </row>
    <row r="53" spans="1:5" hidden="1" x14ac:dyDescent="0.4">
      <c r="A53" s="226" t="str">
        <f>Základy!A67</f>
        <v>Produkce SKO</v>
      </c>
      <c r="B53" s="237"/>
      <c r="C53" s="237"/>
      <c r="D53" s="261">
        <f>Základy!D67</f>
        <v>1603</v>
      </c>
      <c r="E53" s="262">
        <f>Základy!G67</f>
        <v>1650</v>
      </c>
    </row>
    <row r="54" spans="1:5" hidden="1" x14ac:dyDescent="0.4">
      <c r="A54" s="226" t="str">
        <f>Základy!A68</f>
        <v>Poměr za humpolecko</v>
      </c>
      <c r="B54" s="237"/>
      <c r="C54" s="237"/>
      <c r="D54" s="261">
        <f>Základy!D68</f>
        <v>558.33694465297208</v>
      </c>
      <c r="E54" s="262">
        <f>Základy!G68</f>
        <v>580.11038735020634</v>
      </c>
    </row>
    <row r="55" spans="1:5" hidden="1" x14ac:dyDescent="0.4">
      <c r="A55" s="226" t="str">
        <f>Základy!A69</f>
        <v>Náklady na likvidaci</v>
      </c>
      <c r="B55" s="237"/>
      <c r="C55" s="237"/>
      <c r="D55" s="238">
        <f>Základy!D69</f>
        <v>346584.98381194909</v>
      </c>
      <c r="E55" s="239">
        <f>Základy!G69</f>
        <v>578476.30786848662</v>
      </c>
    </row>
    <row r="56" spans="1:5" hidden="1" x14ac:dyDescent="0.4">
      <c r="A56" s="226" t="str">
        <f>Základy!A70</f>
        <v>Náklady na dopravu</v>
      </c>
      <c r="B56" s="237"/>
      <c r="C56" s="237"/>
      <c r="D56" s="267">
        <f>Základy!D70</f>
        <v>171306.08825238218</v>
      </c>
      <c r="E56" s="268">
        <f>Základy!G70</f>
        <v>222687.60508006453</v>
      </c>
    </row>
    <row r="57" spans="1:5" hidden="1" x14ac:dyDescent="0.4">
      <c r="A57" s="226" t="str">
        <f>Základy!A71</f>
        <v>Výnosy od podnikatelů ze svozu</v>
      </c>
      <c r="B57" s="237"/>
      <c r="C57" s="237"/>
      <c r="D57" s="267">
        <f>Základy!D71</f>
        <v>5180670</v>
      </c>
      <c r="E57" s="268">
        <f>Základy!G71</f>
        <v>5553690</v>
      </c>
    </row>
    <row r="58" spans="1:5" hidden="1" x14ac:dyDescent="0.4">
      <c r="A58" s="226" t="str">
        <f>Základy!A72</f>
        <v>Poměr za Humpolecko</v>
      </c>
      <c r="B58" s="237"/>
      <c r="C58" s="237"/>
      <c r="D58" s="267">
        <f>Základy!D72</f>
        <v>1804466.2876202825</v>
      </c>
      <c r="E58" s="268">
        <f>Základy!G72</f>
        <v>1952577.7315896773</v>
      </c>
    </row>
    <row r="59" spans="1:5" hidden="1" x14ac:dyDescent="0.4">
      <c r="A59" s="226" t="str">
        <f>Základy!A73</f>
        <v>Zisk 10%</v>
      </c>
      <c r="B59" s="237"/>
      <c r="C59" s="237"/>
      <c r="D59" s="267">
        <f>Základy!D73</f>
        <v>180446.62876202827</v>
      </c>
      <c r="E59" s="268">
        <f>Základy!G73</f>
        <v>195257.77315896773</v>
      </c>
    </row>
    <row r="60" spans="1:5" ht="21.6" hidden="1" thickBot="1" x14ac:dyDescent="0.45">
      <c r="A60" s="229" t="str">
        <f>Základy!A74</f>
        <v xml:space="preserve">Výnosy ze svozu </v>
      </c>
      <c r="B60" s="264"/>
      <c r="C60" s="264"/>
      <c r="D60" s="265">
        <f>Základy!D74</f>
        <v>1106128.5867939231</v>
      </c>
      <c r="E60" s="266">
        <f>Základy!G74</f>
        <v>956156.0454821582</v>
      </c>
    </row>
    <row r="61" spans="1:5" ht="21.6" hidden="1" thickBot="1" x14ac:dyDescent="0.45">
      <c r="A61" s="230">
        <f>Základy!A75</f>
        <v>0</v>
      </c>
      <c r="D61" s="269">
        <f>Základy!D75</f>
        <v>0</v>
      </c>
      <c r="E61" s="269">
        <f>Základy!G75</f>
        <v>0</v>
      </c>
    </row>
    <row r="62" spans="1:5" x14ac:dyDescent="0.4">
      <c r="A62" s="400" t="str">
        <f>Základy!A76</f>
        <v>Klíč pro rozdělení najetých kilometrů z překladiště</v>
      </c>
      <c r="B62" s="401"/>
      <c r="C62" s="401"/>
      <c r="D62" s="402"/>
      <c r="E62" s="404"/>
    </row>
    <row r="63" spans="1:5" x14ac:dyDescent="0.4">
      <c r="A63" s="226"/>
      <c r="B63" s="246">
        <f>Základy!B77</f>
        <v>2021</v>
      </c>
      <c r="C63" s="246">
        <f>Základy!C77</f>
        <v>2022</v>
      </c>
      <c r="D63" s="246">
        <f>Základy!D77</f>
        <v>2023</v>
      </c>
      <c r="E63" s="247" t="str">
        <f>Základy!G77</f>
        <v>1.-9.2024</v>
      </c>
    </row>
    <row r="64" spans="1:5" x14ac:dyDescent="0.4">
      <c r="A64" s="226" t="str">
        <f>Základy!A78</f>
        <v>Množství ostatní odpad</v>
      </c>
      <c r="B64" s="261">
        <f>Základy!B78</f>
        <v>1429</v>
      </c>
      <c r="C64" s="261">
        <f>Základy!C78</f>
        <v>1153</v>
      </c>
      <c r="D64" s="261">
        <f>Základy!D78</f>
        <v>999.84899999999993</v>
      </c>
      <c r="E64" s="262">
        <f>Základy!G78</f>
        <v>1012.923</v>
      </c>
    </row>
    <row r="65" spans="1:5" x14ac:dyDescent="0.4">
      <c r="A65" s="226" t="str">
        <f>Základy!A79</f>
        <v>Množství SKO svážený od občanů</v>
      </c>
      <c r="B65" s="261">
        <f>Základy!B79</f>
        <v>4333.518</v>
      </c>
      <c r="C65" s="261">
        <f>Základy!C79</f>
        <v>3895.857</v>
      </c>
      <c r="D65" s="261">
        <f>Základy!D79</f>
        <v>3674.7</v>
      </c>
      <c r="E65" s="262">
        <f>Základy!G79</f>
        <v>2704.5300000000007</v>
      </c>
    </row>
    <row r="66" spans="1:5" x14ac:dyDescent="0.4">
      <c r="A66" s="226" t="str">
        <f>Základy!A80</f>
        <v>Množství SKO svážený od občanů města Humpolec</v>
      </c>
      <c r="B66" s="261">
        <f>Základy!B80</f>
        <v>2431.7750000000001</v>
      </c>
      <c r="C66" s="261">
        <f>Základy!C80</f>
        <v>2179.17</v>
      </c>
      <c r="D66" s="261">
        <f>Základy!D80</f>
        <v>2033.28</v>
      </c>
      <c r="E66" s="262">
        <f>Základy!G80</f>
        <v>1515.72</v>
      </c>
    </row>
    <row r="67" spans="1:5" x14ac:dyDescent="0.4">
      <c r="A67" s="226" t="str">
        <f>Základy!A81</f>
        <v>Množství SKO svážený od podnikatelů</v>
      </c>
      <c r="B67" s="261">
        <f>Základy!B81</f>
        <v>705.30866555263788</v>
      </c>
      <c r="C67" s="261">
        <f>Základy!C81</f>
        <v>505.53034947884731</v>
      </c>
      <c r="D67" s="261">
        <f>Základy!D81</f>
        <v>558.33694465297208</v>
      </c>
      <c r="E67" s="262">
        <f>Základy!G81</f>
        <v>580.11038735020634</v>
      </c>
    </row>
    <row r="68" spans="1:5" x14ac:dyDescent="0.4">
      <c r="A68" s="226" t="str">
        <f>Základy!A82</f>
        <v>Poměr SKO od podnikatelů</v>
      </c>
      <c r="B68" s="270">
        <f>Základy!B82</f>
        <v>0.13997478229890303</v>
      </c>
      <c r="C68" s="270">
        <f>Základy!C82</f>
        <v>0.11485704604906118</v>
      </c>
      <c r="D68" s="270">
        <f>Základy!D82</f>
        <v>0.13189985156124004</v>
      </c>
      <c r="E68" s="271">
        <f>Základy!G82</f>
        <v>0.17661305925127299</v>
      </c>
    </row>
    <row r="69" spans="1:5" x14ac:dyDescent="0.4">
      <c r="A69" s="226" t="str">
        <f>Základy!A83</f>
        <v>Poměr SKO od občanů města Humpolec</v>
      </c>
      <c r="B69" s="270">
        <f>Základy!B83</f>
        <v>0.48260739283304815</v>
      </c>
      <c r="C69" s="270">
        <f>Základy!C83</f>
        <v>0.49510979765460261</v>
      </c>
      <c r="D69" s="270">
        <f>Základy!D83</f>
        <v>0.48033599200412602</v>
      </c>
      <c r="E69" s="271">
        <f>Základy!G83</f>
        <v>0.46145690890160596</v>
      </c>
    </row>
    <row r="70" spans="1:5" x14ac:dyDescent="0.4">
      <c r="A70" s="226" t="str">
        <f>Základy!A84</f>
        <v>Poměr SKO od občanů ostatní obce</v>
      </c>
      <c r="B70" s="270">
        <f>Základy!B84</f>
        <v>0.37741782486804887</v>
      </c>
      <c r="C70" s="270">
        <f>Základy!C84</f>
        <v>0.39003315629633611</v>
      </c>
      <c r="D70" s="270">
        <f>Základy!D84</f>
        <v>0.38776415643463391</v>
      </c>
      <c r="E70" s="271">
        <f>Základy!G84</f>
        <v>0.36193003184712114</v>
      </c>
    </row>
    <row r="71" spans="1:5" ht="21.6" thickBot="1" x14ac:dyDescent="0.45">
      <c r="A71" s="229" t="str">
        <f>Základy!A85</f>
        <v>Poměr SKO od občanů</v>
      </c>
      <c r="B71" s="272">
        <f>Základy!B85</f>
        <v>0.67001146197688444</v>
      </c>
      <c r="C71" s="272">
        <f>Základy!C85</f>
        <v>0.70140174872131256</v>
      </c>
      <c r="D71" s="272">
        <f>Základy!D85</f>
        <v>0.70223200713075995</v>
      </c>
      <c r="E71" s="273">
        <f>Základy!G85</f>
        <v>0.62931707021721461</v>
      </c>
    </row>
    <row r="72" spans="1:5" x14ac:dyDescent="0.4">
      <c r="A72" s="416" t="str">
        <f>Základy!A86</f>
        <v>Rozdělení kilometrů pro odvoz odpadů z překladiště</v>
      </c>
      <c r="B72" s="417"/>
      <c r="C72" s="417"/>
      <c r="D72" s="418"/>
      <c r="E72" s="420"/>
    </row>
    <row r="73" spans="1:5" x14ac:dyDescent="0.4">
      <c r="A73" s="226"/>
      <c r="B73" s="246">
        <f>Základy!B87</f>
        <v>2021</v>
      </c>
      <c r="C73" s="246">
        <f>Základy!C87</f>
        <v>2022</v>
      </c>
      <c r="D73" s="246">
        <f>Základy!D87</f>
        <v>2023</v>
      </c>
      <c r="E73" s="247" t="str">
        <f>Základy!G87</f>
        <v>1.-9.2024</v>
      </c>
    </row>
    <row r="74" spans="1:5" x14ac:dyDescent="0.4">
      <c r="A74" s="226" t="str">
        <f>Základy!A88</f>
        <v>Odvoz z překladiště</v>
      </c>
      <c r="B74" s="248">
        <f>Základy!B88</f>
        <v>24783</v>
      </c>
      <c r="C74" s="248">
        <f>Základy!C88</f>
        <v>21688</v>
      </c>
      <c r="D74" s="248">
        <f>Základy!D88</f>
        <v>20653</v>
      </c>
      <c r="E74" s="249">
        <f>Základy!G88</f>
        <v>14786</v>
      </c>
    </row>
    <row r="75" spans="1:5" x14ac:dyDescent="0.4">
      <c r="A75" s="226" t="str">
        <f>Základy!A89</f>
        <v>Doprava SKO od občanů z překladiště</v>
      </c>
      <c r="B75" s="248">
        <f>Základy!B89</f>
        <v>16604.894062173127</v>
      </c>
      <c r="C75" s="248">
        <f>Základy!C89</f>
        <v>15212.001126267827</v>
      </c>
      <c r="D75" s="248">
        <f>Základy!D89</f>
        <v>14503.197643271586</v>
      </c>
      <c r="E75" s="249">
        <f>Základy!G89</f>
        <v>9305.0822002317345</v>
      </c>
    </row>
    <row r="76" spans="1:5" x14ac:dyDescent="0.4">
      <c r="A76" s="231" t="str">
        <f>Základy!A90</f>
        <v>Doprava SKO od podnikatelů z překladiště</v>
      </c>
      <c r="B76" s="274">
        <f>Základy!B90</f>
        <v>2702.5561386001509</v>
      </c>
      <c r="C76" s="274">
        <f>Základy!C90</f>
        <v>1973.9246706526428</v>
      </c>
      <c r="D76" s="274">
        <f>Základy!D90</f>
        <v>2203.6277954234206</v>
      </c>
      <c r="E76" s="275">
        <f>Základy!G90</f>
        <v>1995.9012617726337</v>
      </c>
    </row>
    <row r="77" spans="1:5" hidden="1" x14ac:dyDescent="0.4">
      <c r="A77" s="231" t="str">
        <f>Základy!A91</f>
        <v>Poměr SKO od podnikatelů vs.odpad celkem</v>
      </c>
      <c r="B77" s="276">
        <f>Základy!B91</f>
        <v>0.10904878903281083</v>
      </c>
      <c r="C77" s="276">
        <f>Základy!C91</f>
        <v>9.1014601192025216E-2</v>
      </c>
      <c r="D77" s="276">
        <f>Základy!D91</f>
        <v>0.10669770955422556</v>
      </c>
      <c r="E77" s="277">
        <f>Základy!G91</f>
        <v>0.1349858827115267</v>
      </c>
    </row>
    <row r="78" spans="1:5" ht="21.6" thickBot="1" x14ac:dyDescent="0.45">
      <c r="A78" s="229" t="str">
        <f>Základy!A92</f>
        <v>Doprava ostatního odpadu z překladiště</v>
      </c>
      <c r="B78" s="278">
        <f>Základy!B92</f>
        <v>5475.5497992267219</v>
      </c>
      <c r="C78" s="278">
        <f>Základy!C92</f>
        <v>4502.07420307953</v>
      </c>
      <c r="D78" s="278">
        <f>Základy!D92</f>
        <v>3946.1745613049939</v>
      </c>
      <c r="E78" s="279">
        <f>Základy!G92</f>
        <v>3485.0165379956316</v>
      </c>
    </row>
    <row r="79" spans="1:5" ht="21.6" hidden="1" thickBot="1" x14ac:dyDescent="0.45">
      <c r="A79" s="228"/>
      <c r="B79" s="243"/>
      <c r="C79" s="243"/>
      <c r="D79" s="280">
        <f>Základy!D93</f>
        <v>0</v>
      </c>
      <c r="E79" s="281">
        <f>Základy!G93</f>
        <v>0</v>
      </c>
    </row>
    <row r="80" spans="1:5" x14ac:dyDescent="0.4">
      <c r="A80" s="232"/>
      <c r="B80" s="232"/>
      <c r="C80" s="232"/>
      <c r="D80" s="282"/>
      <c r="E80" s="282"/>
    </row>
    <row r="81" spans="1:5" x14ac:dyDescent="0.4">
      <c r="A81" s="232"/>
      <c r="B81" s="232"/>
      <c r="C81" s="232"/>
      <c r="D81" s="282"/>
      <c r="E81" s="282"/>
    </row>
    <row r="82" spans="1:5" x14ac:dyDescent="0.4">
      <c r="A82" s="232"/>
      <c r="B82" s="232"/>
      <c r="C82" s="232"/>
      <c r="D82" s="282"/>
      <c r="E82" s="282"/>
    </row>
    <row r="83" spans="1:5" x14ac:dyDescent="0.4">
      <c r="A83" s="232"/>
      <c r="B83" s="232"/>
      <c r="C83" s="232"/>
      <c r="D83" s="282"/>
      <c r="E83" s="282"/>
    </row>
    <row r="84" spans="1:5" x14ac:dyDescent="0.4">
      <c r="A84" s="232"/>
      <c r="B84" s="232"/>
      <c r="C84" s="232"/>
      <c r="D84" s="282"/>
      <c r="E84" s="282"/>
    </row>
    <row r="85" spans="1:5" x14ac:dyDescent="0.4">
      <c r="A85" s="232"/>
      <c r="B85" s="232"/>
      <c r="C85" s="232"/>
      <c r="D85" s="282"/>
      <c r="E85" s="282"/>
    </row>
    <row r="86" spans="1:5" ht="21.6" thickBot="1" x14ac:dyDescent="0.45">
      <c r="A86" s="232"/>
      <c r="B86" s="232"/>
      <c r="C86" s="232"/>
      <c r="D86" s="282"/>
      <c r="E86" s="282"/>
    </row>
    <row r="87" spans="1:5" hidden="1" x14ac:dyDescent="0.4">
      <c r="A87" s="228"/>
      <c r="B87" s="243"/>
      <c r="C87" s="243"/>
      <c r="D87" s="280"/>
      <c r="E87" s="281"/>
    </row>
    <row r="88" spans="1:5" ht="21.6" hidden="1" thickBot="1" x14ac:dyDescent="0.45">
      <c r="A88" s="228"/>
      <c r="B88" s="243"/>
      <c r="C88" s="243"/>
      <c r="D88" s="280"/>
      <c r="E88" s="281"/>
    </row>
    <row r="89" spans="1:5" x14ac:dyDescent="0.4">
      <c r="A89" s="400" t="str">
        <f>Základy!A94</f>
        <v>Výpočet % svážených subjektů na překladiště Humpolec</v>
      </c>
      <c r="B89" s="401"/>
      <c r="C89" s="401"/>
      <c r="D89" s="402"/>
      <c r="E89" s="404"/>
    </row>
    <row r="90" spans="1:5" x14ac:dyDescent="0.4">
      <c r="A90" s="226"/>
      <c r="B90" s="283">
        <f>Základy!B95</f>
        <v>2021</v>
      </c>
      <c r="C90" s="283">
        <f>Základy!C95</f>
        <v>2022</v>
      </c>
      <c r="D90" s="283">
        <f>Základy!D95</f>
        <v>2023</v>
      </c>
      <c r="E90" s="284">
        <f>Základy!G95</f>
        <v>2024</v>
      </c>
    </row>
    <row r="91" spans="1:5" x14ac:dyDescent="0.4">
      <c r="A91" s="226" t="str">
        <f>Základy!A96</f>
        <v>Počty obyvatel celkem</v>
      </c>
      <c r="B91" s="285">
        <f>Základy!B96</f>
        <v>52616</v>
      </c>
      <c r="C91" s="285">
        <f>Základy!C96</f>
        <v>52659</v>
      </c>
      <c r="D91" s="285">
        <f>Základy!D96</f>
        <v>52562</v>
      </c>
      <c r="E91" s="286">
        <f>Základy!G96</f>
        <v>54368</v>
      </c>
    </row>
    <row r="92" spans="1:5" x14ac:dyDescent="0.4">
      <c r="A92" s="226" t="str">
        <f>Základy!A97</f>
        <v>Svážených TS Humpolec</v>
      </c>
      <c r="B92" s="285">
        <f>Základy!B97</f>
        <v>18847</v>
      </c>
      <c r="C92" s="285">
        <f>Základy!C97</f>
        <v>18895</v>
      </c>
      <c r="D92" s="285">
        <f>Základy!D97</f>
        <v>18697</v>
      </c>
      <c r="E92" s="286">
        <f>Základy!G97</f>
        <v>19494</v>
      </c>
    </row>
    <row r="93" spans="1:5" hidden="1" x14ac:dyDescent="0.4">
      <c r="A93" s="226" t="str">
        <f>Základy!A98</f>
        <v>% vyjádření</v>
      </c>
      <c r="B93" s="270">
        <f>Základy!B98</f>
        <v>0.35819902691196592</v>
      </c>
      <c r="C93" s="270">
        <f>Základy!C98</f>
        <v>0.35881805579293186</v>
      </c>
      <c r="D93" s="270">
        <f>Základy!D98</f>
        <v>0.35571325292036071</v>
      </c>
      <c r="E93" s="271">
        <f>Základy!G98</f>
        <v>0.35855650382577986</v>
      </c>
    </row>
    <row r="94" spans="1:5" x14ac:dyDescent="0.4">
      <c r="A94" s="226" t="str">
        <f>Základy!A99</f>
        <v>Počty rekreačních objektů celkem</v>
      </c>
      <c r="B94" s="287">
        <f>Základy!B99</f>
        <v>6030</v>
      </c>
      <c r="C94" s="287">
        <f>Základy!C99</f>
        <v>6057</v>
      </c>
      <c r="D94" s="287">
        <f>Základy!D99</f>
        <v>6050</v>
      </c>
      <c r="E94" s="288">
        <f>Základy!G99</f>
        <v>5965</v>
      </c>
    </row>
    <row r="95" spans="1:5" x14ac:dyDescent="0.4">
      <c r="A95" s="226" t="str">
        <f>Základy!A100</f>
        <v>Svážených TS Humpolec</v>
      </c>
      <c r="B95" s="287">
        <f>Základy!B100</f>
        <v>1691</v>
      </c>
      <c r="C95" s="287">
        <f>Základy!C100</f>
        <v>1718</v>
      </c>
      <c r="D95" s="287">
        <f>Základy!D100</f>
        <v>1718</v>
      </c>
      <c r="E95" s="288">
        <f>Základy!G100</f>
        <v>1718</v>
      </c>
    </row>
    <row r="96" spans="1:5" hidden="1" x14ac:dyDescent="0.4">
      <c r="A96" s="226" t="str">
        <f>Základy!A101</f>
        <v>% vyjádření</v>
      </c>
      <c r="B96" s="270">
        <f>Základy!B101</f>
        <v>0.2804311774461028</v>
      </c>
      <c r="C96" s="270">
        <f>Základy!C101</f>
        <v>0.28363876506521379</v>
      </c>
      <c r="D96" s="270">
        <f>Základy!D101</f>
        <v>0.28396694214876034</v>
      </c>
      <c r="E96" s="271">
        <f>Základy!G101</f>
        <v>0.28801341156747695</v>
      </c>
    </row>
    <row r="97" spans="1:5" x14ac:dyDescent="0.4">
      <c r="A97" s="226" t="str">
        <f>Základy!A102</f>
        <v>Celkový počet svážených subjektů</v>
      </c>
      <c r="B97" s="289">
        <f>Základy!B102</f>
        <v>58646</v>
      </c>
      <c r="C97" s="289">
        <f>Základy!C102</f>
        <v>58716</v>
      </c>
      <c r="D97" s="289">
        <f>Základy!D102</f>
        <v>58612</v>
      </c>
      <c r="E97" s="290">
        <f>Základy!G102</f>
        <v>60333</v>
      </c>
    </row>
    <row r="98" spans="1:5" x14ac:dyDescent="0.4">
      <c r="A98" s="226" t="str">
        <f>Základy!A103</f>
        <v>Subjekty svážené TS Humpolec</v>
      </c>
      <c r="B98" s="289">
        <f>Základy!B103</f>
        <v>20538</v>
      </c>
      <c r="C98" s="289">
        <f>Základy!C103</f>
        <v>20613</v>
      </c>
      <c r="D98" s="289">
        <f>Základy!D103</f>
        <v>20415</v>
      </c>
      <c r="E98" s="290">
        <f>Základy!G103</f>
        <v>21212</v>
      </c>
    </row>
    <row r="99" spans="1:5" ht="21.6" thickBot="1" x14ac:dyDescent="0.45">
      <c r="A99" s="227" t="str">
        <f>Základy!A104</f>
        <v>% vyjádření</v>
      </c>
      <c r="B99" s="291">
        <f>Základy!B104</f>
        <v>0.35020291238959178</v>
      </c>
      <c r="C99" s="291">
        <f>Základy!C104</f>
        <v>0.35106274269364396</v>
      </c>
      <c r="D99" s="291">
        <f>Základy!D104</f>
        <v>0.3483075138196956</v>
      </c>
      <c r="E99" s="292">
        <f>Základy!G104</f>
        <v>0.351582052939519</v>
      </c>
    </row>
    <row r="100" spans="1:5" x14ac:dyDescent="0.4">
      <c r="A100" s="232"/>
      <c r="B100" s="232"/>
      <c r="C100" s="232"/>
      <c r="D100" s="293"/>
      <c r="E100" s="293"/>
    </row>
    <row r="101" spans="1:5" ht="21.6" thickBot="1" x14ac:dyDescent="0.45">
      <c r="A101" s="232"/>
      <c r="B101" s="232"/>
      <c r="C101" s="232"/>
      <c r="D101" s="293"/>
      <c r="E101" s="293"/>
    </row>
    <row r="102" spans="1:5" x14ac:dyDescent="0.4">
      <c r="A102" s="400" t="str">
        <f>Základy!A105</f>
        <v>Výpočet % svážených subjektů TS za město Humpolec</v>
      </c>
      <c r="B102" s="401"/>
      <c r="C102" s="401"/>
      <c r="D102" s="402"/>
      <c r="E102" s="404"/>
    </row>
    <row r="103" spans="1:5" x14ac:dyDescent="0.4">
      <c r="A103" s="226"/>
      <c r="B103" s="283">
        <f>Základy!B106</f>
        <v>2021</v>
      </c>
      <c r="C103" s="283">
        <f>Základy!C106</f>
        <v>2022</v>
      </c>
      <c r="D103" s="283">
        <f>Základy!D106</f>
        <v>2023</v>
      </c>
      <c r="E103" s="284">
        <f>Základy!G106</f>
        <v>2024</v>
      </c>
    </row>
    <row r="104" spans="1:5" x14ac:dyDescent="0.4">
      <c r="A104" s="226" t="str">
        <f>Základy!A107</f>
        <v>Obyvatelé města Humpolec</v>
      </c>
      <c r="B104" s="289">
        <f>Základy!B107</f>
        <v>10970</v>
      </c>
      <c r="C104" s="289">
        <f>Základy!C107</f>
        <v>10975</v>
      </c>
      <c r="D104" s="289">
        <f>Základy!D107</f>
        <v>10741</v>
      </c>
      <c r="E104" s="290">
        <f>Základy!G107</f>
        <v>11333</v>
      </c>
    </row>
    <row r="105" spans="1:5" x14ac:dyDescent="0.4">
      <c r="A105" s="226" t="str">
        <f>Základy!A108</f>
        <v>Rekreační objekty města Humpolec</v>
      </c>
      <c r="B105" s="289">
        <f>Základy!B108</f>
        <v>555</v>
      </c>
      <c r="C105" s="289">
        <f>Základy!C108</f>
        <v>555</v>
      </c>
      <c r="D105" s="289">
        <f>Základy!D108</f>
        <v>555</v>
      </c>
      <c r="E105" s="290">
        <f>Základy!G108</f>
        <v>555</v>
      </c>
    </row>
    <row r="106" spans="1:5" x14ac:dyDescent="0.4">
      <c r="A106" s="231" t="str">
        <f>Základy!A109</f>
        <v>Součet</v>
      </c>
      <c r="B106" s="295">
        <f>Základy!B109</f>
        <v>11525</v>
      </c>
      <c r="C106" s="295">
        <f>Základy!C109</f>
        <v>11530</v>
      </c>
      <c r="D106" s="295">
        <f>Základy!D109</f>
        <v>11296</v>
      </c>
      <c r="E106" s="296">
        <f>Základy!G109</f>
        <v>11888</v>
      </c>
    </row>
    <row r="107" spans="1:5" ht="21.6" thickBot="1" x14ac:dyDescent="0.45">
      <c r="A107" s="227" t="str">
        <f>Základy!A110</f>
        <v>% vyjádření</v>
      </c>
      <c r="B107" s="291">
        <f>Základy!B110</f>
        <v>0.56115493232057645</v>
      </c>
      <c r="C107" s="291">
        <f>Základy!C110</f>
        <v>0.55935574637364771</v>
      </c>
      <c r="D107" s="291">
        <f>Základy!D110</f>
        <v>0.55331863825618421</v>
      </c>
      <c r="E107" s="292">
        <f>Základy!G110</f>
        <v>0.56043748821421835</v>
      </c>
    </row>
    <row r="108" spans="1:5" x14ac:dyDescent="0.4">
      <c r="A108" s="400" t="str">
        <f>Základy!A111</f>
        <v>Výpočet poměru ostatních odpadů</v>
      </c>
      <c r="B108" s="401"/>
      <c r="C108" s="401"/>
      <c r="D108" s="402"/>
      <c r="E108" s="404"/>
    </row>
    <row r="109" spans="1:5" x14ac:dyDescent="0.4">
      <c r="A109" s="226"/>
      <c r="B109" s="246">
        <f>Základy!B112</f>
        <v>2021</v>
      </c>
      <c r="C109" s="246">
        <f>Základy!C112</f>
        <v>2022</v>
      </c>
      <c r="D109" s="246">
        <f>Základy!D112</f>
        <v>2023</v>
      </c>
      <c r="E109" s="247" t="str">
        <f>Základy!G112</f>
        <v>1.-9.2024</v>
      </c>
    </row>
    <row r="110" spans="1:5" x14ac:dyDescent="0.4">
      <c r="A110" s="226" t="str">
        <f>Základy!A113</f>
        <v>Dovezeno z překladiště mimo SKO</v>
      </c>
      <c r="B110" s="261">
        <f>Základy!B113</f>
        <v>1429</v>
      </c>
      <c r="C110" s="261">
        <f>Základy!C113</f>
        <v>1153</v>
      </c>
      <c r="D110" s="261">
        <f>Základy!D113</f>
        <v>999.84899999999993</v>
      </c>
      <c r="E110" s="262">
        <f>Základy!G113</f>
        <v>1012.923</v>
      </c>
    </row>
    <row r="111" spans="1:5" x14ac:dyDescent="0.4">
      <c r="A111" s="233" t="str">
        <f>Základy!A114</f>
        <v>Poměr Humpolec vs.ostatní</v>
      </c>
      <c r="B111" s="297">
        <f>Základy!B114</f>
        <v>0.56543037088873338</v>
      </c>
      <c r="C111" s="297">
        <f>Základy!C114</f>
        <v>0.55247181266261924</v>
      </c>
      <c r="D111" s="297">
        <f>Základy!D114</f>
        <v>0.48007249094613291</v>
      </c>
      <c r="E111" s="298">
        <f>Základy!G114</f>
        <v>0.48298340545135221</v>
      </c>
    </row>
    <row r="112" spans="1:5" x14ac:dyDescent="0.4">
      <c r="A112" s="226" t="str">
        <f>Základy!A115</f>
        <v>Odpad město Humpolec a občané</v>
      </c>
      <c r="B112" s="261">
        <f>Základy!B115</f>
        <v>808</v>
      </c>
      <c r="C112" s="261">
        <f>Základy!C115</f>
        <v>637</v>
      </c>
      <c r="D112" s="261">
        <f>Základy!D115</f>
        <v>480</v>
      </c>
      <c r="E112" s="262">
        <f>Základy!G115</f>
        <v>489.22500000000002</v>
      </c>
    </row>
    <row r="113" spans="1:5" x14ac:dyDescent="0.4">
      <c r="A113" s="226" t="str">
        <f>Základy!A118</f>
        <v>Odpad ostatní obce</v>
      </c>
      <c r="B113" s="261">
        <f>Základy!B118</f>
        <v>148</v>
      </c>
      <c r="C113" s="261">
        <f>Základy!C118</f>
        <v>85</v>
      </c>
      <c r="D113" s="261">
        <f>Základy!D118</f>
        <v>118.346</v>
      </c>
      <c r="E113" s="262">
        <f>Základy!G118</f>
        <v>117.092</v>
      </c>
    </row>
    <row r="114" spans="1:5" ht="21.6" thickBot="1" x14ac:dyDescent="0.45">
      <c r="A114" s="229" t="str">
        <f>Základy!A121</f>
        <v>Odpad firmy</v>
      </c>
      <c r="B114" s="299">
        <f>Základy!B121</f>
        <v>473</v>
      </c>
      <c r="C114" s="299">
        <f>Základy!C121</f>
        <v>431</v>
      </c>
      <c r="D114" s="299">
        <f>Základy!D121</f>
        <v>401.50299999999999</v>
      </c>
      <c r="E114" s="300">
        <f>Základy!G121</f>
        <v>406.60599999999999</v>
      </c>
    </row>
  </sheetData>
  <mergeCells count="18">
    <mergeCell ref="A62:E62"/>
    <mergeCell ref="A72:E72"/>
    <mergeCell ref="A89:E89"/>
    <mergeCell ref="A102:E102"/>
    <mergeCell ref="A108:E108"/>
    <mergeCell ref="A38:E38"/>
    <mergeCell ref="A40:A41"/>
    <mergeCell ref="A42:A43"/>
    <mergeCell ref="A44:A45"/>
    <mergeCell ref="A51:E51"/>
    <mergeCell ref="A29:A30"/>
    <mergeCell ref="A31:A32"/>
    <mergeCell ref="A33:A34"/>
    <mergeCell ref="A1:E1"/>
    <mergeCell ref="A2:E2"/>
    <mergeCell ref="A8:E8"/>
    <mergeCell ref="A18:E18"/>
    <mergeCell ref="A27:E27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F574-6CEB-45FF-9ED6-18E1EC3476A5}">
  <dimension ref="A1:C94"/>
  <sheetViews>
    <sheetView topLeftCell="A74" zoomScale="98" workbookViewId="0">
      <selection activeCell="A11" sqref="A11"/>
    </sheetView>
  </sheetViews>
  <sheetFormatPr defaultColWidth="9.109375" defaultRowHeight="21" x14ac:dyDescent="0.4"/>
  <cols>
    <col min="1" max="1" width="63.33203125" style="62" customWidth="1"/>
    <col min="2" max="2" width="28.88671875" style="62" customWidth="1"/>
    <col min="3" max="3" width="30" style="62" customWidth="1"/>
    <col min="4" max="16384" width="9.109375" style="62"/>
  </cols>
  <sheetData>
    <row r="1" spans="1:3" ht="25.8" thickBot="1" x14ac:dyDescent="0.45">
      <c r="A1" s="423" t="s">
        <v>398</v>
      </c>
      <c r="B1" s="423"/>
      <c r="C1" s="423"/>
    </row>
    <row r="2" spans="1:3" x14ac:dyDescent="0.4">
      <c r="A2" s="400" t="str">
        <f>Základy!A124</f>
        <v>Výpočet nákladů na provoz překladiště Humpolec pro svážené SKO</v>
      </c>
      <c r="B2" s="402">
        <f>Základy!D124</f>
        <v>0</v>
      </c>
      <c r="C2" s="404">
        <f>Základy!G124</f>
        <v>0</v>
      </c>
    </row>
    <row r="3" spans="1:3" x14ac:dyDescent="0.4">
      <c r="A3" s="69"/>
      <c r="B3" s="78">
        <f>Základy!D125</f>
        <v>2023</v>
      </c>
      <c r="C3" s="81" t="str">
        <f>Základy!G125</f>
        <v>1.-9.2024</v>
      </c>
    </row>
    <row r="4" spans="1:3" x14ac:dyDescent="0.4">
      <c r="A4" s="69" t="str">
        <f>Základy!A126</f>
        <v>Kontejnery pro svoz 6 M + 2 V</v>
      </c>
      <c r="B4" s="68">
        <f>Základy!D126</f>
        <v>132800</v>
      </c>
      <c r="C4" s="70">
        <f>Základy!G126</f>
        <v>99600</v>
      </c>
    </row>
    <row r="5" spans="1:3" x14ac:dyDescent="0.4">
      <c r="A5" s="69" t="str">
        <f>Základy!A127</f>
        <v>Opravy kontejnerů -odhad</v>
      </c>
      <c r="B5" s="68">
        <f>Základy!D127</f>
        <v>50000</v>
      </c>
      <c r="C5" s="70">
        <f>Základy!G127</f>
        <v>37500</v>
      </c>
    </row>
    <row r="6" spans="1:3" x14ac:dyDescent="0.4">
      <c r="A6" s="183" t="str">
        <f>Základy!A128</f>
        <v>Provoz překladiště (traktorbagr, poplatky, odpisy,..)</v>
      </c>
      <c r="B6" s="184">
        <f>Základy!D128</f>
        <v>129982</v>
      </c>
      <c r="C6" s="185">
        <f>Základy!G128</f>
        <v>62976</v>
      </c>
    </row>
    <row r="7" spans="1:3" x14ac:dyDescent="0.4">
      <c r="A7" s="69" t="str">
        <f>Základy!A129</f>
        <v>Náklad na odvoz SKO</v>
      </c>
      <c r="B7" s="68">
        <f>Základy!D129</f>
        <v>1127452.6762549919</v>
      </c>
      <c r="C7" s="70">
        <f>Základy!G129</f>
        <v>778643.15357053676</v>
      </c>
    </row>
    <row r="8" spans="1:3" ht="21.6" thickBot="1" x14ac:dyDescent="0.45">
      <c r="A8" s="100" t="str">
        <f>Základy!A130</f>
        <v>Náklady na překladiště</v>
      </c>
      <c r="B8" s="101">
        <f>Základy!D130</f>
        <v>1440234.6762549919</v>
      </c>
      <c r="C8" s="102">
        <f>Základy!G130</f>
        <v>978719.15357053676</v>
      </c>
    </row>
    <row r="9" spans="1:3" x14ac:dyDescent="0.4">
      <c r="A9" s="400" t="str">
        <f>Základy!A131</f>
        <v>Náklady na svoz SKO a BIA Humpolecko</v>
      </c>
      <c r="B9" s="402">
        <f>Základy!D131</f>
        <v>0</v>
      </c>
      <c r="C9" s="404">
        <f>Základy!G131</f>
        <v>0</v>
      </c>
    </row>
    <row r="10" spans="1:3" x14ac:dyDescent="0.4">
      <c r="A10" s="69"/>
      <c r="B10" s="78">
        <f>Základy!D132</f>
        <v>2023</v>
      </c>
      <c r="C10" s="81" t="str">
        <f>Základy!G132</f>
        <v>1.-9.2024</v>
      </c>
    </row>
    <row r="11" spans="1:3" x14ac:dyDescent="0.4">
      <c r="A11" s="69" t="str">
        <f>Základy!A133</f>
        <v>Výnos za podnikatele - výpočet z odvezených tun</v>
      </c>
      <c r="B11" s="154">
        <f>Základy!D133</f>
        <v>911691.77399129118</v>
      </c>
      <c r="C11" s="172">
        <f>Základy!G133</f>
        <v>720941.96976544964</v>
      </c>
    </row>
    <row r="12" spans="1:3" x14ac:dyDescent="0.4">
      <c r="A12" s="69" t="str">
        <f>Základy!A134</f>
        <v>Výnos za podnikatele - výpočet z výnosů</v>
      </c>
      <c r="B12" s="151">
        <f>Základy!D134</f>
        <v>1106128.5867939231</v>
      </c>
      <c r="C12" s="173">
        <f>Základy!G134</f>
        <v>717117.03411161865</v>
      </c>
    </row>
    <row r="13" spans="1:3" x14ac:dyDescent="0.4">
      <c r="A13" s="69" t="str">
        <f>Základy!A135</f>
        <v>PRŮMĚR Z VÝNOSŮ</v>
      </c>
      <c r="B13" s="151">
        <f>Základy!D135</f>
        <v>1008910.1803926071</v>
      </c>
      <c r="C13" s="173">
        <f>Základy!G135</f>
        <v>719029.5019385342</v>
      </c>
    </row>
    <row r="14" spans="1:3" x14ac:dyDescent="0.4">
      <c r="A14" s="69" t="str">
        <f>Základy!A136</f>
        <v>Náklady  - svoz TS Humpolec</v>
      </c>
      <c r="B14" s="68">
        <f>Základy!D136</f>
        <v>6912000</v>
      </c>
      <c r="C14" s="70">
        <f>Základy!G136</f>
        <v>5442723</v>
      </c>
    </row>
    <row r="15" spans="1:3" x14ac:dyDescent="0.4">
      <c r="A15" s="120" t="str">
        <f>Základy!A137</f>
        <v>Náklad -svoz TS - varianta navýšení</v>
      </c>
      <c r="B15" s="176"/>
      <c r="C15" s="177">
        <f>Základy!G137</f>
        <v>6171561</v>
      </c>
    </row>
    <row r="16" spans="1:3" x14ac:dyDescent="0.4">
      <c r="A16" s="97" t="str">
        <f>Základy!A138</f>
        <v>Náklad na svoz SKO a BIA Humpolecko</v>
      </c>
      <c r="B16" s="98">
        <f>Základy!D138</f>
        <v>5903089.8196073929</v>
      </c>
      <c r="C16" s="99">
        <f>Základy!G138</f>
        <v>4723693.498061466</v>
      </c>
    </row>
    <row r="17" spans="1:3" ht="21.6" thickBot="1" x14ac:dyDescent="0.45">
      <c r="A17" s="107" t="str">
        <f>Základy!A139</f>
        <v>Náklad na svoz - varianta navýšení</v>
      </c>
      <c r="B17" s="178"/>
      <c r="C17" s="179">
        <f>Základy!G139</f>
        <v>5454443.965888381</v>
      </c>
    </row>
    <row r="18" spans="1:3" x14ac:dyDescent="0.4">
      <c r="A18" s="400" t="str">
        <f>Základy!A140</f>
        <v>Výpočet nákladů na likvidaci BIA</v>
      </c>
      <c r="B18" s="402">
        <f>Základy!D140</f>
        <v>0</v>
      </c>
      <c r="C18" s="404">
        <f>Základy!G140</f>
        <v>0</v>
      </c>
    </row>
    <row r="19" spans="1:3" x14ac:dyDescent="0.4">
      <c r="A19" s="69"/>
      <c r="B19" s="78">
        <f>Základy!D141</f>
        <v>2023</v>
      </c>
      <c r="C19" s="81" t="str">
        <f>Základy!G141</f>
        <v>1.-9.2024</v>
      </c>
    </row>
    <row r="20" spans="1:3" x14ac:dyDescent="0.4">
      <c r="A20" s="69" t="str">
        <f>Základy!A142</f>
        <v>Celkový návoz bia</v>
      </c>
      <c r="B20" s="95">
        <f>Základy!D142</f>
        <v>3107</v>
      </c>
      <c r="C20" s="96">
        <f>Základy!G142</f>
        <v>2473</v>
      </c>
    </row>
    <row r="21" spans="1:3" x14ac:dyDescent="0.4">
      <c r="A21" s="69" t="str">
        <f>Základy!A143</f>
        <v>Náklady na uložení BIA</v>
      </c>
      <c r="B21" s="68">
        <f>Základy!D143</f>
        <v>1864200</v>
      </c>
      <c r="C21" s="70">
        <f>Základy!G143</f>
        <v>1483800</v>
      </c>
    </row>
    <row r="22" spans="1:3" ht="21.6" thickBot="1" x14ac:dyDescent="0.45">
      <c r="A22" s="75" t="str">
        <f>Základy!A144</f>
        <v>Náklady na uložení BIA Humpolecko</v>
      </c>
      <c r="B22" s="152">
        <f>Základy!D144</f>
        <v>649314.86726267659</v>
      </c>
      <c r="C22" s="153">
        <f>Základy!G144</f>
        <v>521677.45015165827</v>
      </c>
    </row>
    <row r="23" spans="1:3" x14ac:dyDescent="0.4">
      <c r="A23" s="180"/>
      <c r="B23" s="181"/>
      <c r="C23" s="181"/>
    </row>
    <row r="24" spans="1:3" ht="21.6" thickBot="1" x14ac:dyDescent="0.45">
      <c r="A24" s="180"/>
      <c r="B24" s="181"/>
      <c r="C24" s="181"/>
    </row>
    <row r="25" spans="1:3" x14ac:dyDescent="0.4">
      <c r="A25" s="400" t="str">
        <f>Základy!A145</f>
        <v>Výpočet nákladů na likvidaci SKO</v>
      </c>
      <c r="B25" s="402">
        <f>Základy!D145</f>
        <v>0</v>
      </c>
      <c r="C25" s="404">
        <f>Základy!G145</f>
        <v>0</v>
      </c>
    </row>
    <row r="26" spans="1:3" x14ac:dyDescent="0.4">
      <c r="A26" s="69"/>
      <c r="B26" s="78">
        <f>Základy!D146</f>
        <v>2023</v>
      </c>
      <c r="C26" s="81" t="str">
        <f>Základy!G146</f>
        <v>1.-9.2024</v>
      </c>
    </row>
    <row r="27" spans="1:3" x14ac:dyDescent="0.4">
      <c r="A27" s="69" t="str">
        <f>Základy!A147</f>
        <v>Náklady Bomag, skládka</v>
      </c>
      <c r="B27" s="68">
        <f>Základy!D147</f>
        <v>6413341</v>
      </c>
      <c r="C27" s="70">
        <f>Základy!G147</f>
        <v>8015000</v>
      </c>
    </row>
    <row r="28" spans="1:3" x14ac:dyDescent="0.4">
      <c r="A28" s="69" t="str">
        <f>Základy!A148</f>
        <v>Náklady včetně režie</v>
      </c>
      <c r="B28" s="68">
        <f>Základy!D148</f>
        <v>8012025.0771634486</v>
      </c>
      <c r="C28" s="70">
        <f>Základy!G148</f>
        <v>9979064.7765870187</v>
      </c>
    </row>
    <row r="29" spans="1:3" x14ac:dyDescent="0.4">
      <c r="A29" s="69" t="str">
        <f>Základy!A149</f>
        <v>Navezeno do skládky</v>
      </c>
      <c r="B29" s="95">
        <f>Základy!D149</f>
        <v>16841</v>
      </c>
      <c r="C29" s="96">
        <f>Základy!G149</f>
        <v>11710</v>
      </c>
    </row>
    <row r="30" spans="1:3" x14ac:dyDescent="0.4">
      <c r="A30" s="69" t="str">
        <f>Základy!A150</f>
        <v>Finanční rezerva</v>
      </c>
      <c r="B30" s="103">
        <f>Základy!D150</f>
        <v>145</v>
      </c>
      <c r="C30" s="104">
        <f>Základy!G150</f>
        <v>145</v>
      </c>
    </row>
    <row r="31" spans="1:3" x14ac:dyDescent="0.4">
      <c r="A31" s="69" t="str">
        <f>Základy!A151</f>
        <v>Na tunu</v>
      </c>
      <c r="B31" s="103">
        <f>Základy!D151</f>
        <v>620.74520973596873</v>
      </c>
      <c r="C31" s="104">
        <f>Základy!G151</f>
        <v>997.18315769316985</v>
      </c>
    </row>
    <row r="32" spans="1:3" ht="21.6" thickBot="1" x14ac:dyDescent="0.45">
      <c r="A32" s="75" t="str">
        <f>Základy!A152</f>
        <v>Náklady na uložení SKO Humpolecko</v>
      </c>
      <c r="B32" s="152">
        <f>Základy!D152</f>
        <v>2281052.4222167642</v>
      </c>
      <c r="C32" s="153">
        <f>Základy!G152</f>
        <v>2696911.7654759092</v>
      </c>
    </row>
    <row r="33" spans="1:3" x14ac:dyDescent="0.4">
      <c r="A33" s="400" t="str">
        <f>Základy!A153</f>
        <v>Výpočet nákladů na likvidaci separovaných odpadů</v>
      </c>
      <c r="B33" s="402">
        <f>Základy!D153</f>
        <v>0</v>
      </c>
      <c r="C33" s="404">
        <f>Základy!G153</f>
        <v>0</v>
      </c>
    </row>
    <row r="34" spans="1:3" x14ac:dyDescent="0.4">
      <c r="A34" s="69"/>
      <c r="B34" s="78">
        <f>Základy!D154</f>
        <v>2023</v>
      </c>
      <c r="C34" s="81" t="str">
        <f>Základy!G154</f>
        <v>1.-9.2024</v>
      </c>
    </row>
    <row r="35" spans="1:3" x14ac:dyDescent="0.4">
      <c r="A35" s="134" t="str">
        <f>Základy!A155</f>
        <v>Náklady</v>
      </c>
      <c r="B35" s="112">
        <f>Základy!D155</f>
        <v>24056926.280000001</v>
      </c>
      <c r="C35" s="113">
        <f>Základy!G155</f>
        <v>18807802</v>
      </c>
    </row>
    <row r="36" spans="1:3" x14ac:dyDescent="0.4">
      <c r="A36" s="134" t="str">
        <f>Základy!A156</f>
        <v>Výnosy celkem</v>
      </c>
      <c r="B36" s="112">
        <f>Základy!D156</f>
        <v>13597887.9</v>
      </c>
      <c r="C36" s="113">
        <f>Základy!G156</f>
        <v>14824885</v>
      </c>
    </row>
    <row r="37" spans="1:3" x14ac:dyDescent="0.4">
      <c r="A37" s="134" t="str">
        <f>Základy!A158</f>
        <v>Rozdíl</v>
      </c>
      <c r="B37" s="112">
        <f>Základy!D158</f>
        <v>10459038.380000001</v>
      </c>
      <c r="C37" s="113">
        <f>Základy!G158</f>
        <v>3982917</v>
      </c>
    </row>
    <row r="38" spans="1:3" x14ac:dyDescent="0.4">
      <c r="A38" s="69" t="str">
        <f>Základy!A159</f>
        <v>Celkový objem separovaných odpadů</v>
      </c>
      <c r="B38" s="95">
        <f>Základy!D159</f>
        <v>4456</v>
      </c>
      <c r="C38" s="96">
        <f>Základy!G159</f>
        <v>3458</v>
      </c>
    </row>
    <row r="39" spans="1:3" ht="21.6" thickBot="1" x14ac:dyDescent="0.45">
      <c r="A39" s="75" t="str">
        <f>Základy!A160</f>
        <v>Náklady na separaci Humpolecko</v>
      </c>
      <c r="B39" s="152">
        <f>Základy!D160</f>
        <v>3642961.6550825769</v>
      </c>
      <c r="C39" s="153">
        <f>Základy!G160</f>
        <v>1400322.1355477101</v>
      </c>
    </row>
    <row r="40" spans="1:3" x14ac:dyDescent="0.4">
      <c r="A40" s="180"/>
      <c r="B40" s="182"/>
      <c r="C40" s="182"/>
    </row>
    <row r="41" spans="1:3" x14ac:dyDescent="0.4">
      <c r="A41" s="180"/>
      <c r="B41" s="182"/>
      <c r="C41" s="182"/>
    </row>
    <row r="42" spans="1:3" x14ac:dyDescent="0.4">
      <c r="A42" s="180"/>
      <c r="B42" s="182"/>
      <c r="C42" s="182"/>
    </row>
    <row r="43" spans="1:3" x14ac:dyDescent="0.4">
      <c r="A43" s="180"/>
      <c r="B43" s="182"/>
      <c r="C43" s="182"/>
    </row>
    <row r="44" spans="1:3" x14ac:dyDescent="0.4">
      <c r="A44" s="180"/>
      <c r="B44" s="182"/>
      <c r="C44" s="182"/>
    </row>
    <row r="45" spans="1:3" x14ac:dyDescent="0.4">
      <c r="A45" s="180"/>
      <c r="B45" s="182"/>
      <c r="C45" s="182"/>
    </row>
    <row r="46" spans="1:3" x14ac:dyDescent="0.4">
      <c r="A46" s="180"/>
      <c r="B46" s="182"/>
      <c r="C46" s="182"/>
    </row>
    <row r="47" spans="1:3" x14ac:dyDescent="0.4">
      <c r="A47" s="180"/>
      <c r="B47" s="182"/>
      <c r="C47" s="182"/>
    </row>
    <row r="48" spans="1:3" ht="21.6" thickBot="1" x14ac:dyDescent="0.45">
      <c r="A48" s="180"/>
      <c r="B48" s="182"/>
      <c r="C48" s="182"/>
    </row>
    <row r="49" spans="1:3" x14ac:dyDescent="0.4">
      <c r="A49" s="400" t="str">
        <f>Základy!A162</f>
        <v>Rozbor poplatku Humpolecko - poměrově přepočteno na rok 2025</v>
      </c>
      <c r="B49" s="402">
        <f>Základy!D162</f>
        <v>0</v>
      </c>
      <c r="C49" s="404">
        <f>Základy!G162</f>
        <v>0</v>
      </c>
    </row>
    <row r="50" spans="1:3" x14ac:dyDescent="0.4">
      <c r="A50" s="69"/>
      <c r="B50" s="78">
        <f>Základy!D163</f>
        <v>2023</v>
      </c>
      <c r="C50" s="81">
        <f>Základy!G163</f>
        <v>2024</v>
      </c>
    </row>
    <row r="51" spans="1:3" x14ac:dyDescent="0.4">
      <c r="A51" s="155" t="str">
        <f>Základy!A164</f>
        <v>Vybraný poplatek od občanů</v>
      </c>
      <c r="B51" s="156">
        <f>Základy!D164</f>
        <v>13086015</v>
      </c>
      <c r="C51" s="157">
        <f>Základy!G164</f>
        <v>14445372</v>
      </c>
    </row>
    <row r="52" spans="1:3" ht="20.25" customHeight="1" x14ac:dyDescent="0.4">
      <c r="A52" s="105" t="str">
        <f>Základy!A165</f>
        <v>PROVOZ PŘEKLADIŠTĚ</v>
      </c>
      <c r="B52" s="112">
        <f>Základy!D165</f>
        <v>1440234.6762549919</v>
      </c>
      <c r="C52" s="113">
        <f>Základy!G165</f>
        <v>1304958.8714273823</v>
      </c>
    </row>
    <row r="53" spans="1:3" ht="20.25" customHeight="1" x14ac:dyDescent="0.4">
      <c r="A53" s="105" t="str">
        <f>Základy!A166</f>
        <v>SVOZ SKO a BIA</v>
      </c>
      <c r="B53" s="112">
        <f>Základy!D166</f>
        <v>5903089.8196073929</v>
      </c>
      <c r="C53" s="113">
        <f>Základy!G166</f>
        <v>6298257.9974152884</v>
      </c>
    </row>
    <row r="54" spans="1:3" ht="20.25" customHeight="1" x14ac:dyDescent="0.4">
      <c r="A54" s="69" t="str">
        <f>Základy!A167</f>
        <v>LIKVIDACE BIA</v>
      </c>
      <c r="B54" s="112">
        <f>Základy!D167</f>
        <v>649314.86726267659</v>
      </c>
      <c r="C54" s="113">
        <f>Základy!G167</f>
        <v>695569.93353554432</v>
      </c>
    </row>
    <row r="55" spans="1:3" ht="20.25" customHeight="1" x14ac:dyDescent="0.4">
      <c r="A55" s="69" t="str">
        <f>Základy!A168</f>
        <v>LIKVIDACE SKO</v>
      </c>
      <c r="B55" s="112">
        <f>Základy!D168</f>
        <v>2281052.4222167642</v>
      </c>
      <c r="C55" s="113">
        <f>Základy!G168</f>
        <v>3595882.353967879</v>
      </c>
    </row>
    <row r="56" spans="1:3" ht="20.25" customHeight="1" x14ac:dyDescent="0.4">
      <c r="A56" s="69" t="str">
        <f>Základy!A169</f>
        <v>(SVOZ)A LIKVIDACE SEPARACE</v>
      </c>
      <c r="B56" s="112">
        <f>Základy!D169</f>
        <v>3642961.6550825774</v>
      </c>
      <c r="C56" s="113">
        <f>Základy!G169</f>
        <v>1867096.1807302802</v>
      </c>
    </row>
    <row r="57" spans="1:3" ht="20.25" customHeight="1" x14ac:dyDescent="0.4">
      <c r="A57" s="69" t="str">
        <f>Základy!A170</f>
        <v>ROZDÍL</v>
      </c>
      <c r="B57" s="112">
        <f>Základy!D170</f>
        <v>-830638.44042440318</v>
      </c>
      <c r="C57" s="113">
        <f>Základy!G170</f>
        <v>683606.6629236266</v>
      </c>
    </row>
    <row r="58" spans="1:3" ht="20.25" customHeight="1" x14ac:dyDescent="0.4">
      <c r="A58" s="106" t="str">
        <f>Základy!A171</f>
        <v>SVOZ SKO a BIA  - varianta navýšení</v>
      </c>
      <c r="B58" s="116"/>
      <c r="C58" s="117">
        <f>Základy!G171</f>
        <v>7272591.9545178413</v>
      </c>
    </row>
    <row r="59" spans="1:3" ht="20.25" customHeight="1" thickBot="1" x14ac:dyDescent="0.45">
      <c r="A59" s="107" t="str">
        <f>Základy!A172</f>
        <v>ROZDÍL</v>
      </c>
      <c r="B59" s="132"/>
      <c r="C59" s="133">
        <f>Základy!G172</f>
        <v>-290727.29417892732</v>
      </c>
    </row>
    <row r="60" spans="1:3" ht="20.25" customHeight="1" x14ac:dyDescent="0.4">
      <c r="A60" s="400" t="str">
        <f>Základy!A173</f>
        <v>Rozbor poplatku Humpolecko na občana - poměrově přepočteno na rok 2025</v>
      </c>
      <c r="B60" s="402">
        <f>Základy!D173</f>
        <v>0</v>
      </c>
      <c r="C60" s="404">
        <f>Základy!G173</f>
        <v>0</v>
      </c>
    </row>
    <row r="61" spans="1:3" ht="20.25" customHeight="1" x14ac:dyDescent="0.4">
      <c r="A61" s="69"/>
      <c r="B61" s="78">
        <f>Základy!D174</f>
        <v>2023</v>
      </c>
      <c r="C61" s="81">
        <f>Základy!G174</f>
        <v>2024</v>
      </c>
    </row>
    <row r="62" spans="1:3" ht="20.25" customHeight="1" x14ac:dyDescent="0.4">
      <c r="A62" s="155" t="str">
        <f>Základy!A175</f>
        <v>Výše poplatku</v>
      </c>
      <c r="B62" s="123">
        <f>Základy!D175</f>
        <v>641</v>
      </c>
      <c r="C62" s="124">
        <f>Základy!G175</f>
        <v>681</v>
      </c>
    </row>
    <row r="63" spans="1:3" ht="20.25" customHeight="1" x14ac:dyDescent="0.4">
      <c r="A63" s="105" t="str">
        <f>Základy!A176</f>
        <v>PROVOZ PŘEKLADIŠTĚ</v>
      </c>
      <c r="B63" s="122">
        <f>Základy!D176</f>
        <v>70.547865601518097</v>
      </c>
      <c r="C63" s="125">
        <f>Základy!G176</f>
        <v>61.519841194954857</v>
      </c>
    </row>
    <row r="64" spans="1:3" ht="20.25" customHeight="1" x14ac:dyDescent="0.4">
      <c r="A64" s="105" t="str">
        <f>Základy!A177</f>
        <v>SVOZ SKO a BIA</v>
      </c>
      <c r="B64" s="122">
        <f>Základy!D177</f>
        <v>289.15453439174104</v>
      </c>
      <c r="C64" s="125">
        <f>Základy!G177</f>
        <v>296.91957370428474</v>
      </c>
    </row>
    <row r="65" spans="1:3" ht="20.25" customHeight="1" x14ac:dyDescent="0.4">
      <c r="A65" s="69" t="str">
        <f>Základy!A180</f>
        <v>LIKVIDACE BIA</v>
      </c>
      <c r="B65" s="122">
        <f>Základy!D180</f>
        <v>31.805773561727975</v>
      </c>
      <c r="C65" s="125">
        <f>Základy!G180</f>
        <v>32.791341388626456</v>
      </c>
    </row>
    <row r="66" spans="1:3" ht="20.25" customHeight="1" x14ac:dyDescent="0.4">
      <c r="A66" s="69" t="str">
        <f>Základy!A181</f>
        <v>LIKVIDACE SKO</v>
      </c>
      <c r="B66" s="122">
        <f>Základy!D181</f>
        <v>111.73413775247437</v>
      </c>
      <c r="C66" s="125">
        <f>Základy!G181</f>
        <v>169.52113680783893</v>
      </c>
    </row>
    <row r="67" spans="1:3" ht="20.25" customHeight="1" x14ac:dyDescent="0.4">
      <c r="A67" s="69" t="str">
        <f>Základy!A182</f>
        <v>(SVOZ)A LIKVIDACE SEPARACE</v>
      </c>
      <c r="B67" s="122">
        <f>Základy!D182</f>
        <v>178.4453419095066</v>
      </c>
      <c r="C67" s="125">
        <f>Základy!G182</f>
        <v>88.020751495864616</v>
      </c>
    </row>
    <row r="68" spans="1:3" ht="20.25" customHeight="1" x14ac:dyDescent="0.4">
      <c r="A68" s="69" t="str">
        <f>Základy!A183</f>
        <v>ROZDÍL</v>
      </c>
      <c r="B68" s="122">
        <f>Základy!D183</f>
        <v>-40.687653216968101</v>
      </c>
      <c r="C68" s="125">
        <f>Základy!G183</f>
        <v>32.227355408430412</v>
      </c>
    </row>
    <row r="69" spans="1:3" ht="20.25" customHeight="1" x14ac:dyDescent="0.4">
      <c r="A69" s="106" t="str">
        <f>Základy!A184</f>
        <v>SVOZ SKO a BIA  - varianta navýšení</v>
      </c>
      <c r="B69" s="126"/>
      <c r="C69" s="127">
        <f>Základy!G184</f>
        <v>342.8527227285424</v>
      </c>
    </row>
    <row r="70" spans="1:3" ht="20.25" customHeight="1" x14ac:dyDescent="0.4">
      <c r="A70" s="120" t="str">
        <f>Základy!A185</f>
        <v>ROZDÍL</v>
      </c>
      <c r="B70" s="128"/>
      <c r="C70" s="129">
        <f>Základy!G185</f>
        <v>-13.705793615827247</v>
      </c>
    </row>
    <row r="71" spans="1:3" ht="20.25" customHeight="1" thickBot="1" x14ac:dyDescent="0.45">
      <c r="A71" s="107"/>
      <c r="B71" s="130"/>
      <c r="C71" s="131"/>
    </row>
    <row r="72" spans="1:3" ht="20.25" customHeight="1" x14ac:dyDescent="0.4"/>
    <row r="73" spans="1:3" ht="20.25" customHeight="1" x14ac:dyDescent="0.4"/>
    <row r="74" spans="1:3" ht="20.25" customHeight="1" x14ac:dyDescent="0.4"/>
    <row r="75" spans="1:3" ht="20.25" customHeight="1" x14ac:dyDescent="0.4"/>
    <row r="76" spans="1:3" ht="20.25" customHeight="1" x14ac:dyDescent="0.4"/>
    <row r="77" spans="1:3" ht="20.25" customHeight="1" x14ac:dyDescent="0.4"/>
    <row r="78" spans="1:3" ht="20.25" customHeight="1" x14ac:dyDescent="0.4"/>
    <row r="79" spans="1:3" ht="20.25" customHeight="1" x14ac:dyDescent="0.4"/>
    <row r="80" spans="1:3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</sheetData>
  <mergeCells count="8">
    <mergeCell ref="A33:C33"/>
    <mergeCell ref="A49:C49"/>
    <mergeCell ref="A60:C60"/>
    <mergeCell ref="A1:C1"/>
    <mergeCell ref="A18:C18"/>
    <mergeCell ref="A2:C2"/>
    <mergeCell ref="A9:C9"/>
    <mergeCell ref="A25:C2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Odpady 2024</vt:lpstr>
      <vt:lpstr>Odpady 2023</vt:lpstr>
      <vt:lpstr>List1</vt:lpstr>
      <vt:lpstr>PŘEÚČTOVÁNÍ STŘEDISEK 2023</vt:lpstr>
      <vt:lpstr>Odpady 2023 (2)</vt:lpstr>
      <vt:lpstr>Základy</vt:lpstr>
      <vt:lpstr>Nákladové a výnosové výpočty</vt:lpstr>
      <vt:lpstr>Poměrové výpočty</vt:lpstr>
      <vt:lpstr>Poplatek za Humpolecko</vt:lpstr>
      <vt:lpstr>Náklady na překladiště</vt:lpstr>
      <vt:lpstr>Náklady na překladiště za město</vt:lpstr>
      <vt:lpstr>Rozbor rentability separace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Radek Lapáček</dc:creator>
  <cp:lastModifiedBy>Ing. Radek Lapáček</cp:lastModifiedBy>
  <cp:lastPrinted>2025-11-11T10:48:04Z</cp:lastPrinted>
  <dcterms:created xsi:type="dcterms:W3CDTF">2024-11-13T13:04:34Z</dcterms:created>
  <dcterms:modified xsi:type="dcterms:W3CDTF">2025-11-13T07:56:37Z</dcterms:modified>
</cp:coreProperties>
</file>